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Users/hendrickmunoz/Downloads/"/>
    </mc:Choice>
  </mc:AlternateContent>
  <xr:revisionPtr revIDLastSave="0" documentId="8_{1C29B823-2914-7D45-A73F-72BC608EE7B8}" xr6:coauthVersionLast="47" xr6:coauthVersionMax="47" xr10:uidLastSave="{00000000-0000-0000-0000-000000000000}"/>
  <bookViews>
    <workbookView xWindow="-22900" yWindow="-16300" windowWidth="26840" windowHeight="8200" activeTab="7" xr2:uid="{00000000-000D-0000-FFFF-FFFF00000000}"/>
  </bookViews>
  <sheets>
    <sheet name="Hoja2" sheetId="3" state="hidden" r:id="rId1"/>
    <sheet name="Instrucciones" sheetId="4" r:id="rId2"/>
    <sheet name="Resultados" sheetId="6" r:id="rId3"/>
    <sheet name="Pronostico _con IVA_" sheetId="9" r:id="rId4"/>
    <sheet name="Real _con IVA_" sheetId="10" r:id="rId5"/>
    <sheet name="Presupuesto" sheetId="11" r:id="rId6"/>
    <sheet name="Cal pres Consultoria" sheetId="12" r:id="rId7"/>
    <sheet name="Cal pres plataformas" sheetId="17" r:id="rId8"/>
  </sheets>
  <definedNames>
    <definedName name="_xlnm._FilterDatabase">'Real _con IVA_'!$A$1:$AI$20</definedName>
    <definedName name="_xlnm.Print_Area">#REF!</definedName>
    <definedName name="_xlnm.Print_Titles">#REF!</definedName>
    <definedName name="zs_inbuilt_comment_53d1810e89a5454c9ffab2d8689b1b6a">#REF!</definedName>
    <definedName name="zs_inbuilt_comment_9ce3c2bf3e924bdaa8ffd539c327fa89">Resultados!#REF!</definedName>
    <definedName name="zs_inbuilt_comment_e8ea0558a9474ffd99751d8e96ae887a">#REF!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D32" i="17" l="1"/>
  <c r="CE32" i="17"/>
  <c r="CF32" i="17"/>
  <c r="CG32" i="17"/>
  <c r="CH32" i="17"/>
  <c r="CI32" i="17"/>
  <c r="CJ32" i="17"/>
  <c r="CK32" i="17"/>
  <c r="CL32" i="17"/>
  <c r="CM32" i="17"/>
  <c r="CN32" i="17"/>
  <c r="E5" i="6"/>
  <c r="F5" i="6"/>
  <c r="F7" i="6" s="1"/>
  <c r="G5" i="6"/>
  <c r="G7" i="6" s="1"/>
  <c r="H5" i="6"/>
  <c r="H7" i="6" s="1"/>
  <c r="I5" i="6"/>
  <c r="I7" i="6" s="1"/>
  <c r="J5" i="6"/>
  <c r="J7" i="6" s="1"/>
  <c r="K5" i="6"/>
  <c r="K7" i="6" s="1"/>
  <c r="L5" i="6"/>
  <c r="M5" i="6"/>
  <c r="N5" i="6"/>
  <c r="N7" i="6" s="1"/>
  <c r="O5" i="6"/>
  <c r="O7" i="6" s="1"/>
  <c r="P5" i="6"/>
  <c r="Q5" i="6"/>
  <c r="R5" i="6"/>
  <c r="S5" i="6"/>
  <c r="T5" i="6"/>
  <c r="U5" i="6"/>
  <c r="V5" i="6"/>
  <c r="W5" i="6"/>
  <c r="X5" i="6"/>
  <c r="Y5" i="6"/>
  <c r="Z5" i="6"/>
  <c r="AA5" i="6"/>
  <c r="AB5" i="6"/>
  <c r="D5" i="6"/>
  <c r="D7" i="6" s="1"/>
  <c r="Q4" i="6"/>
  <c r="R4" i="6"/>
  <c r="S4" i="6"/>
  <c r="T4" i="6"/>
  <c r="U4" i="6"/>
  <c r="V4" i="6"/>
  <c r="AA4" i="6"/>
  <c r="AB4" i="6"/>
  <c r="E4" i="6"/>
  <c r="E6" i="6" s="1"/>
  <c r="F4" i="6"/>
  <c r="F6" i="6" s="1"/>
  <c r="G4" i="6"/>
  <c r="G6" i="6" s="1"/>
  <c r="H4" i="6"/>
  <c r="H6" i="6" s="1"/>
  <c r="I4" i="6"/>
  <c r="M4" i="6"/>
  <c r="N4" i="6"/>
  <c r="O4" i="6"/>
  <c r="O6" i="6" s="1"/>
  <c r="D4" i="6"/>
  <c r="D6" i="6" s="1"/>
  <c r="CD20" i="12"/>
  <c r="CE20" i="12"/>
  <c r="CF20" i="12"/>
  <c r="CG20" i="12"/>
  <c r="CH20" i="12"/>
  <c r="CI20" i="12"/>
  <c r="CJ20" i="12"/>
  <c r="CK20" i="12"/>
  <c r="CL20" i="12"/>
  <c r="CM20" i="12"/>
  <c r="CN20" i="12"/>
  <c r="CC20" i="12"/>
  <c r="CC15" i="12"/>
  <c r="Q54" i="11"/>
  <c r="F52" i="11"/>
  <c r="G52" i="11"/>
  <c r="H52" i="11"/>
  <c r="I52" i="11"/>
  <c r="J52" i="11"/>
  <c r="K52" i="11"/>
  <c r="L52" i="11"/>
  <c r="M52" i="11"/>
  <c r="N52" i="11"/>
  <c r="O52" i="11"/>
  <c r="P52" i="11"/>
  <c r="E52" i="11"/>
  <c r="Q45" i="11"/>
  <c r="F30" i="11"/>
  <c r="G30" i="11"/>
  <c r="H30" i="11"/>
  <c r="I30" i="11"/>
  <c r="J30" i="11"/>
  <c r="K30" i="11"/>
  <c r="L30" i="11"/>
  <c r="M30" i="11"/>
  <c r="N30" i="11"/>
  <c r="O30" i="11"/>
  <c r="P30" i="11"/>
  <c r="E30" i="11"/>
  <c r="F26" i="11"/>
  <c r="G26" i="11"/>
  <c r="H26" i="11"/>
  <c r="I26" i="11"/>
  <c r="J26" i="11"/>
  <c r="K26" i="11"/>
  <c r="L26" i="11"/>
  <c r="M26" i="11"/>
  <c r="N26" i="11"/>
  <c r="O26" i="11"/>
  <c r="P26" i="11"/>
  <c r="E26" i="11"/>
  <c r="F25" i="11"/>
  <c r="G25" i="11"/>
  <c r="H25" i="11"/>
  <c r="I25" i="11"/>
  <c r="J25" i="11"/>
  <c r="K25" i="11"/>
  <c r="L25" i="11"/>
  <c r="M25" i="11"/>
  <c r="N25" i="11"/>
  <c r="O25" i="11"/>
  <c r="P25" i="11"/>
  <c r="E25" i="11"/>
  <c r="F24" i="11"/>
  <c r="G24" i="11"/>
  <c r="H24" i="11"/>
  <c r="I24" i="11"/>
  <c r="J24" i="11"/>
  <c r="K24" i="11"/>
  <c r="L24" i="11"/>
  <c r="M24" i="11"/>
  <c r="N24" i="11"/>
  <c r="O24" i="11"/>
  <c r="P24" i="11"/>
  <c r="E24" i="11"/>
  <c r="F29" i="11"/>
  <c r="G29" i="11"/>
  <c r="H29" i="11"/>
  <c r="I29" i="11"/>
  <c r="J29" i="11"/>
  <c r="K29" i="11"/>
  <c r="L29" i="11"/>
  <c r="M29" i="11"/>
  <c r="N29" i="11"/>
  <c r="O29" i="11"/>
  <c r="P29" i="11"/>
  <c r="E29" i="11"/>
  <c r="CJ33" i="17"/>
  <c r="CL33" i="17"/>
  <c r="CC32" i="17"/>
  <c r="CC31" i="17"/>
  <c r="CC13" i="17"/>
  <c r="CC44" i="17" s="1"/>
  <c r="CD8" i="17"/>
  <c r="CD33" i="17" s="1"/>
  <c r="CE8" i="17"/>
  <c r="CE33" i="17" s="1"/>
  <c r="CF8" i="17"/>
  <c r="CF33" i="17" s="1"/>
  <c r="CG8" i="17"/>
  <c r="CG33" i="17" s="1"/>
  <c r="CH8" i="17"/>
  <c r="CH33" i="17" s="1"/>
  <c r="CI8" i="17"/>
  <c r="CI33" i="17" s="1"/>
  <c r="CJ8" i="17"/>
  <c r="CK8" i="17"/>
  <c r="CK33" i="17" s="1"/>
  <c r="CL8" i="17"/>
  <c r="CM8" i="17"/>
  <c r="CM33" i="17" s="1"/>
  <c r="CN8" i="17"/>
  <c r="CN33" i="17" s="1"/>
  <c r="CC8" i="17"/>
  <c r="CC33" i="17" s="1"/>
  <c r="J6" i="9"/>
  <c r="J5" i="9"/>
  <c r="G7" i="9"/>
  <c r="G8" i="9"/>
  <c r="G9" i="9"/>
  <c r="G10" i="9"/>
  <c r="G11" i="9"/>
  <c r="F11" i="9" s="1"/>
  <c r="G12" i="9"/>
  <c r="G13" i="9"/>
  <c r="F13" i="9" s="1"/>
  <c r="G15" i="9"/>
  <c r="F15" i="9" s="1"/>
  <c r="G17" i="9"/>
  <c r="G19" i="9"/>
  <c r="G20" i="9"/>
  <c r="F20" i="9" s="1"/>
  <c r="D19" i="9"/>
  <c r="D17" i="9"/>
  <c r="D16" i="9"/>
  <c r="D14" i="9"/>
  <c r="D12" i="9"/>
  <c r="D10" i="9"/>
  <c r="F10" i="9" s="1"/>
  <c r="D9" i="9"/>
  <c r="F9" i="9" s="1"/>
  <c r="D8" i="9"/>
  <c r="D7" i="9"/>
  <c r="D6" i="9"/>
  <c r="D4" i="9"/>
  <c r="H3" i="10"/>
  <c r="H4" i="10"/>
  <c r="H7" i="10"/>
  <c r="H8" i="10"/>
  <c r="H9" i="10"/>
  <c r="H10" i="10"/>
  <c r="H11" i="10"/>
  <c r="G11" i="10" s="1"/>
  <c r="H12" i="10"/>
  <c r="H13" i="10"/>
  <c r="G13" i="10" s="1"/>
  <c r="H14" i="10"/>
  <c r="H15" i="10"/>
  <c r="G15" i="10" s="1"/>
  <c r="H16" i="10"/>
  <c r="H17" i="10"/>
  <c r="H18" i="10"/>
  <c r="G18" i="10" s="1"/>
  <c r="H19" i="10"/>
  <c r="H20" i="10"/>
  <c r="G20" i="10" s="1"/>
  <c r="H2" i="10"/>
  <c r="G2" i="10" s="1"/>
  <c r="G3" i="10"/>
  <c r="CA48" i="17"/>
  <c r="BZ48" i="17"/>
  <c r="BY48" i="17"/>
  <c r="BX48" i="17"/>
  <c r="BW48" i="17"/>
  <c r="BV48" i="17"/>
  <c r="BU48" i="17"/>
  <c r="BT48" i="17"/>
  <c r="BS48" i="17"/>
  <c r="BR48" i="17"/>
  <c r="BP48" i="17"/>
  <c r="BN48" i="17"/>
  <c r="BM48" i="17"/>
  <c r="BL48" i="17"/>
  <c r="BK48" i="17"/>
  <c r="BJ48" i="17"/>
  <c r="BI48" i="17"/>
  <c r="BH48" i="17"/>
  <c r="BG48" i="17"/>
  <c r="BF48" i="17"/>
  <c r="BE48" i="17"/>
  <c r="BD48" i="17"/>
  <c r="AP48" i="17"/>
  <c r="AO48" i="17"/>
  <c r="AB48" i="17"/>
  <c r="CA43" i="17"/>
  <c r="BZ43" i="17"/>
  <c r="BY43" i="17"/>
  <c r="BX43" i="17"/>
  <c r="BW43" i="17"/>
  <c r="BV43" i="17"/>
  <c r="BU43" i="17"/>
  <c r="BT43" i="17"/>
  <c r="BS43" i="17"/>
  <c r="BR43" i="17"/>
  <c r="BQ43" i="17"/>
  <c r="BP43" i="17"/>
  <c r="BF43" i="17"/>
  <c r="BD43" i="17"/>
  <c r="BC43" i="17"/>
  <c r="BA43" i="17"/>
  <c r="AZ43" i="17"/>
  <c r="AY43" i="17"/>
  <c r="AX43" i="17"/>
  <c r="AW43" i="17"/>
  <c r="AV43" i="17"/>
  <c r="AU43" i="17"/>
  <c r="AT43" i="17"/>
  <c r="AS43" i="17"/>
  <c r="AR43" i="17"/>
  <c r="AQ43" i="17"/>
  <c r="AP43" i="17"/>
  <c r="AJ43" i="17"/>
  <c r="AH43" i="17"/>
  <c r="AE43" i="17"/>
  <c r="AA43" i="17"/>
  <c r="Z43" i="17"/>
  <c r="Y43" i="17"/>
  <c r="X43" i="17"/>
  <c r="W43" i="17"/>
  <c r="V43" i="17"/>
  <c r="U43" i="17"/>
  <c r="T43" i="17"/>
  <c r="S43" i="17"/>
  <c r="R43" i="17"/>
  <c r="Q43" i="17"/>
  <c r="P43" i="17"/>
  <c r="BC32" i="17"/>
  <c r="AP32" i="17"/>
  <c r="W32" i="17"/>
  <c r="W31" i="17"/>
  <c r="AB28" i="17"/>
  <c r="CO24" i="17"/>
  <c r="CO21" i="17"/>
  <c r="BP21" i="17"/>
  <c r="BP22" i="17"/>
  <c r="P20" i="17"/>
  <c r="BC18" i="17"/>
  <c r="BD18" i="17" s="1"/>
  <c r="AP18" i="17"/>
  <c r="AQ18" i="17" s="1"/>
  <c r="BC17" i="17"/>
  <c r="BD17" i="17" s="1"/>
  <c r="AP17" i="17"/>
  <c r="AQ17" i="17" s="1"/>
  <c r="BQ16" i="17"/>
  <c r="BO16" i="17"/>
  <c r="AB16" i="17"/>
  <c r="CB15" i="17"/>
  <c r="BJ15" i="17"/>
  <c r="AZ15" i="17"/>
  <c r="AW15" i="17"/>
  <c r="AT15" i="17"/>
  <c r="AB15" i="17"/>
  <c r="CO14" i="17"/>
  <c r="CB14" i="17"/>
  <c r="BO14" i="17"/>
  <c r="BB14" i="17"/>
  <c r="AB14" i="17"/>
  <c r="CB13" i="17"/>
  <c r="BG13" i="17"/>
  <c r="BG43" i="17" s="1"/>
  <c r="BE13" i="17"/>
  <c r="BE43" i="17" s="1"/>
  <c r="BB13" i="17"/>
  <c r="AN13" i="17"/>
  <c r="AN43" i="17" s="1"/>
  <c r="AM13" i="17"/>
  <c r="AM43" i="17" s="1"/>
  <c r="AL13" i="17"/>
  <c r="AL43" i="17" s="1"/>
  <c r="AK13" i="17"/>
  <c r="AK43" i="17" s="1"/>
  <c r="AI13" i="17"/>
  <c r="AI43" i="17" s="1"/>
  <c r="AG13" i="17"/>
  <c r="AG43" i="17" s="1"/>
  <c r="AF13" i="17"/>
  <c r="AF43" i="17" s="1"/>
  <c r="AD13" i="17"/>
  <c r="AD43" i="17" s="1"/>
  <c r="AC13" i="17"/>
  <c r="AB13" i="17"/>
  <c r="BP12" i="17"/>
  <c r="BD12" i="17"/>
  <c r="BB12" i="17"/>
  <c r="AN12" i="17"/>
  <c r="AM12" i="17"/>
  <c r="AL12" i="17"/>
  <c r="AK12" i="17"/>
  <c r="AJ12" i="17"/>
  <c r="AI12" i="17"/>
  <c r="AH12" i="17"/>
  <c r="AG12" i="17"/>
  <c r="AF12" i="17"/>
  <c r="AE12" i="17"/>
  <c r="AD12" i="17"/>
  <c r="AC12" i="17"/>
  <c r="AB12" i="17"/>
  <c r="BD11" i="17"/>
  <c r="BE11" i="17" s="1"/>
  <c r="BB11" i="17"/>
  <c r="AN11" i="17"/>
  <c r="AM11" i="17"/>
  <c r="AL11" i="17"/>
  <c r="AK11" i="17"/>
  <c r="AJ11" i="17"/>
  <c r="AI11" i="17"/>
  <c r="AH11" i="17"/>
  <c r="AG11" i="17"/>
  <c r="AF11" i="17"/>
  <c r="AB11" i="17"/>
  <c r="BP10" i="17"/>
  <c r="BD10" i="17"/>
  <c r="BE10" i="17" s="1"/>
  <c r="BF10" i="17" s="1"/>
  <c r="BG10" i="17" s="1"/>
  <c r="BB10" i="17"/>
  <c r="AO10" i="17"/>
  <c r="AB10" i="17"/>
  <c r="AN9" i="17"/>
  <c r="AP9" i="17" s="1"/>
  <c r="AQ9" i="17" s="1"/>
  <c r="AM9" i="17"/>
  <c r="AL9" i="17"/>
  <c r="AK9" i="17"/>
  <c r="AJ9" i="17"/>
  <c r="AI9" i="17"/>
  <c r="AH9" i="17"/>
  <c r="AG9" i="17"/>
  <c r="AF9" i="17"/>
  <c r="AE9" i="17"/>
  <c r="AD9" i="17"/>
  <c r="AC9" i="17"/>
  <c r="AB9" i="17"/>
  <c r="AN8" i="17"/>
  <c r="AM8" i="17"/>
  <c r="AL8" i="17"/>
  <c r="AK8" i="17"/>
  <c r="AJ8" i="17"/>
  <c r="AI8" i="17"/>
  <c r="AH8" i="17"/>
  <c r="AG8" i="17"/>
  <c r="AF8" i="17"/>
  <c r="AE8" i="17"/>
  <c r="AD8" i="17"/>
  <c r="AC8" i="17"/>
  <c r="AB8" i="17"/>
  <c r="BD7" i="17"/>
  <c r="BE7" i="17" s="1"/>
  <c r="BE32" i="17" s="1"/>
  <c r="AQ7" i="17"/>
  <c r="AR7" i="17" s="1"/>
  <c r="AN7" i="17"/>
  <c r="AM7" i="17"/>
  <c r="AL7" i="17"/>
  <c r="AK7" i="17"/>
  <c r="AJ7" i="17"/>
  <c r="AI7" i="17"/>
  <c r="AH7" i="17"/>
  <c r="AG7" i="17"/>
  <c r="AF7" i="17"/>
  <c r="AE7" i="17"/>
  <c r="AD7" i="17"/>
  <c r="AC7" i="17"/>
  <c r="AB7" i="17"/>
  <c r="CD6" i="17"/>
  <c r="CB6" i="17"/>
  <c r="BO6" i="17"/>
  <c r="BB6" i="17"/>
  <c r="AO6" i="17"/>
  <c r="AB6" i="17"/>
  <c r="BO21" i="17"/>
  <c r="BL21" i="17"/>
  <c r="BK21" i="17"/>
  <c r="BB21" i="17"/>
  <c r="AU21" i="17"/>
  <c r="AT21" i="17"/>
  <c r="AD21" i="17"/>
  <c r="AC21" i="17"/>
  <c r="E46" i="11"/>
  <c r="BA33" i="17"/>
  <c r="AZ33" i="17"/>
  <c r="AY33" i="17"/>
  <c r="AX33" i="17"/>
  <c r="AW33" i="17"/>
  <c r="AV33" i="17"/>
  <c r="AU33" i="17"/>
  <c r="AT33" i="17"/>
  <c r="AS33" i="17"/>
  <c r="AR33" i="17"/>
  <c r="AQ33" i="17"/>
  <c r="AP33" i="17"/>
  <c r="AN33" i="17"/>
  <c r="AM33" i="17"/>
  <c r="AL33" i="17"/>
  <c r="AK33" i="17"/>
  <c r="AJ33" i="17"/>
  <c r="AI33" i="17"/>
  <c r="AH33" i="17"/>
  <c r="AG33" i="17"/>
  <c r="AF33" i="17"/>
  <c r="AE33" i="17"/>
  <c r="AD33" i="17"/>
  <c r="AC33" i="17"/>
  <c r="AA33" i="17"/>
  <c r="Z33" i="17"/>
  <c r="Y33" i="17"/>
  <c r="X33" i="17"/>
  <c r="V33" i="17"/>
  <c r="U33" i="17"/>
  <c r="T33" i="17"/>
  <c r="S33" i="17"/>
  <c r="R33" i="17"/>
  <c r="Q33" i="17"/>
  <c r="P33" i="17"/>
  <c r="BE35" i="12"/>
  <c r="BD35" i="12"/>
  <c r="BO33" i="12"/>
  <c r="CO30" i="12"/>
  <c r="BQ30" i="12"/>
  <c r="BR30" i="12" s="1"/>
  <c r="BS30" i="12" s="1"/>
  <c r="BT30" i="12" s="1"/>
  <c r="BU30" i="12" s="1"/>
  <c r="BV30" i="12" s="1"/>
  <c r="BW30" i="12" s="1"/>
  <c r="BX30" i="12" s="1"/>
  <c r="BY30" i="12" s="1"/>
  <c r="BZ30" i="12" s="1"/>
  <c r="CA30" i="12" s="1"/>
  <c r="BN30" i="12"/>
  <c r="BM30" i="12"/>
  <c r="BL30" i="12"/>
  <c r="BK30" i="12"/>
  <c r="BJ30" i="12"/>
  <c r="BI30" i="12"/>
  <c r="BH30" i="12"/>
  <c r="BG30" i="12"/>
  <c r="BF30" i="12"/>
  <c r="BE30" i="12"/>
  <c r="BD30" i="12"/>
  <c r="BC30" i="12"/>
  <c r="BA30" i="12"/>
  <c r="AZ30" i="12"/>
  <c r="AY30" i="12"/>
  <c r="AX30" i="12"/>
  <c r="AW30" i="12"/>
  <c r="AV30" i="12"/>
  <c r="AU30" i="12"/>
  <c r="AT30" i="12"/>
  <c r="AS30" i="12"/>
  <c r="AR30" i="12"/>
  <c r="AQ30" i="12"/>
  <c r="AP30" i="12"/>
  <c r="AN30" i="12"/>
  <c r="AM30" i="12"/>
  <c r="AL30" i="12"/>
  <c r="AK30" i="12"/>
  <c r="AJ30" i="12"/>
  <c r="AI30" i="12"/>
  <c r="AH30" i="12"/>
  <c r="AG30" i="12"/>
  <c r="AF30" i="12"/>
  <c r="AE30" i="12"/>
  <c r="AD30" i="12"/>
  <c r="AC30" i="12"/>
  <c r="Q30" i="12"/>
  <c r="P30" i="12"/>
  <c r="CA28" i="12"/>
  <c r="BZ28" i="12"/>
  <c r="BY28" i="12"/>
  <c r="BX28" i="12"/>
  <c r="BW28" i="12"/>
  <c r="BV28" i="12"/>
  <c r="BU28" i="12"/>
  <c r="BT28" i="12"/>
  <c r="BS28" i="12"/>
  <c r="BR28" i="12"/>
  <c r="BQ28" i="12"/>
  <c r="BP28" i="12"/>
  <c r="BN28" i="12"/>
  <c r="BM28" i="12"/>
  <c r="BL28" i="12"/>
  <c r="BK28" i="12"/>
  <c r="BJ28" i="12"/>
  <c r="BI28" i="12"/>
  <c r="BH28" i="12"/>
  <c r="BG28" i="12"/>
  <c r="BF28" i="12"/>
  <c r="BE28" i="12"/>
  <c r="BD28" i="12"/>
  <c r="BC28" i="12"/>
  <c r="BA28" i="12"/>
  <c r="AZ28" i="12"/>
  <c r="AY28" i="12"/>
  <c r="AX28" i="12"/>
  <c r="AW28" i="12"/>
  <c r="AV28" i="12"/>
  <c r="AU28" i="12"/>
  <c r="AT28" i="12"/>
  <c r="AS28" i="12"/>
  <c r="AP28" i="12"/>
  <c r="AN28" i="12"/>
  <c r="AM28" i="12"/>
  <c r="AL28" i="12"/>
  <c r="AK28" i="12"/>
  <c r="AJ28" i="12"/>
  <c r="AI28" i="12"/>
  <c r="AH28" i="12"/>
  <c r="AG28" i="12"/>
  <c r="AF28" i="12"/>
  <c r="AE28" i="12"/>
  <c r="AD28" i="12"/>
  <c r="AC28" i="12"/>
  <c r="AA28" i="12"/>
  <c r="Z28" i="12"/>
  <c r="Y28" i="12"/>
  <c r="X28" i="12"/>
  <c r="W28" i="12"/>
  <c r="V28" i="12"/>
  <c r="U28" i="12"/>
  <c r="T28" i="12"/>
  <c r="S28" i="12"/>
  <c r="R28" i="12"/>
  <c r="Q28" i="12"/>
  <c r="P28" i="12"/>
  <c r="CO27" i="12"/>
  <c r="CB27" i="12"/>
  <c r="BO27" i="12"/>
  <c r="BB27" i="12"/>
  <c r="N27" i="12"/>
  <c r="CO22" i="12"/>
  <c r="CB22" i="12"/>
  <c r="BO22" i="12"/>
  <c r="BB22" i="12"/>
  <c r="AO22" i="12"/>
  <c r="CO21" i="12"/>
  <c r="CB21" i="12"/>
  <c r="BO21" i="12"/>
  <c r="BB21" i="12"/>
  <c r="AO21" i="12"/>
  <c r="AB21" i="12"/>
  <c r="N21" i="12"/>
  <c r="BL20" i="12"/>
  <c r="BK20" i="12"/>
  <c r="BJ20" i="12"/>
  <c r="BE20" i="12"/>
  <c r="BD20" i="12"/>
  <c r="BC20" i="12"/>
  <c r="AV20" i="12"/>
  <c r="AU20" i="12"/>
  <c r="AT20" i="12"/>
  <c r="AN20" i="12"/>
  <c r="AM20" i="12"/>
  <c r="AL20" i="12"/>
  <c r="AF20" i="12"/>
  <c r="AE20" i="12"/>
  <c r="AD20" i="12"/>
  <c r="AA20" i="12"/>
  <c r="Z20" i="12"/>
  <c r="Y20" i="12"/>
  <c r="X20" i="12"/>
  <c r="W20" i="12"/>
  <c r="V20" i="12"/>
  <c r="U20" i="12"/>
  <c r="T20" i="12"/>
  <c r="S20" i="12"/>
  <c r="R20" i="12"/>
  <c r="Q20" i="12"/>
  <c r="P20" i="12"/>
  <c r="M20" i="12"/>
  <c r="L20" i="12"/>
  <c r="K20" i="12"/>
  <c r="J20" i="12"/>
  <c r="I20" i="12"/>
  <c r="H20" i="12"/>
  <c r="G20" i="12"/>
  <c r="F20" i="12"/>
  <c r="E20" i="12"/>
  <c r="D20" i="12"/>
  <c r="C20" i="12"/>
  <c r="B20" i="12"/>
  <c r="BO19" i="12"/>
  <c r="BB19" i="12"/>
  <c r="AB19" i="12"/>
  <c r="N19" i="12"/>
  <c r="BN20" i="12"/>
  <c r="BM20" i="12"/>
  <c r="BI20" i="12"/>
  <c r="BH20" i="12"/>
  <c r="BG20" i="12"/>
  <c r="BF20" i="12"/>
  <c r="BA20" i="12"/>
  <c r="AZ20" i="12"/>
  <c r="AY20" i="12"/>
  <c r="AX20" i="12"/>
  <c r="AW20" i="12"/>
  <c r="AS20" i="12"/>
  <c r="AR20" i="12"/>
  <c r="AQ20" i="12"/>
  <c r="AK20" i="12"/>
  <c r="AJ20" i="12"/>
  <c r="AI20" i="12"/>
  <c r="AH20" i="12"/>
  <c r="AG20" i="12"/>
  <c r="BO17" i="12"/>
  <c r="BB17" i="12"/>
  <c r="N17" i="12"/>
  <c r="AA30" i="12"/>
  <c r="Z30" i="12"/>
  <c r="Y30" i="12"/>
  <c r="X30" i="12"/>
  <c r="W30" i="12"/>
  <c r="V30" i="12"/>
  <c r="U30" i="12"/>
  <c r="T30" i="12"/>
  <c r="S30" i="12"/>
  <c r="R30" i="12"/>
  <c r="E16" i="12"/>
  <c r="BP15" i="12"/>
  <c r="BP16" i="12" s="1"/>
  <c r="BP29" i="12" s="1"/>
  <c r="AN15" i="12"/>
  <c r="AN16" i="12" s="1"/>
  <c r="AM15" i="12"/>
  <c r="AM16" i="12" s="1"/>
  <c r="AL15" i="12"/>
  <c r="AL16" i="12" s="1"/>
  <c r="AL29" i="12" s="1"/>
  <c r="AK15" i="12"/>
  <c r="AK16" i="12" s="1"/>
  <c r="AK29" i="12" s="1"/>
  <c r="AJ15" i="12"/>
  <c r="AJ16" i="12" s="1"/>
  <c r="AJ29" i="12" s="1"/>
  <c r="AI15" i="12"/>
  <c r="AI16" i="12" s="1"/>
  <c r="AI29" i="12" s="1"/>
  <c r="AH15" i="12"/>
  <c r="AH16" i="12" s="1"/>
  <c r="AG15" i="12"/>
  <c r="AG16" i="12" s="1"/>
  <c r="AF15" i="12"/>
  <c r="AF16" i="12" s="1"/>
  <c r="AE15" i="12"/>
  <c r="AE16" i="12" s="1"/>
  <c r="AD15" i="12"/>
  <c r="AD16" i="12" s="1"/>
  <c r="AA15" i="12"/>
  <c r="AA16" i="12" s="1"/>
  <c r="AA29" i="12" s="1"/>
  <c r="Z15" i="12"/>
  <c r="Z16" i="12" s="1"/>
  <c r="Y15" i="12"/>
  <c r="Y16" i="12" s="1"/>
  <c r="X15" i="12"/>
  <c r="X16" i="12" s="1"/>
  <c r="W15" i="12"/>
  <c r="W16" i="12" s="1"/>
  <c r="V15" i="12"/>
  <c r="V16" i="12" s="1"/>
  <c r="U15" i="12"/>
  <c r="U16" i="12" s="1"/>
  <c r="T15" i="12"/>
  <c r="T16" i="12" s="1"/>
  <c r="T29" i="12" s="1"/>
  <c r="S15" i="12"/>
  <c r="S16" i="12" s="1"/>
  <c r="S29" i="12" s="1"/>
  <c r="R15" i="12"/>
  <c r="R16" i="12" s="1"/>
  <c r="Q15" i="12"/>
  <c r="Q16" i="12" s="1"/>
  <c r="P15" i="12"/>
  <c r="M15" i="12"/>
  <c r="L15" i="12"/>
  <c r="K15" i="12"/>
  <c r="J15" i="12"/>
  <c r="I15" i="12"/>
  <c r="I16" i="12" s="1"/>
  <c r="H15" i="12"/>
  <c r="G15" i="12"/>
  <c r="F15" i="12"/>
  <c r="E15" i="12"/>
  <c r="D15" i="12"/>
  <c r="C15" i="12"/>
  <c r="B15" i="12"/>
  <c r="CA20" i="17"/>
  <c r="BX20" i="17"/>
  <c r="BW20" i="17"/>
  <c r="BV20" i="17"/>
  <c r="BU20" i="17"/>
  <c r="BT20" i="17"/>
  <c r="BS20" i="17"/>
  <c r="BP20" i="17"/>
  <c r="BO20" i="17"/>
  <c r="BN20" i="17"/>
  <c r="BM20" i="17"/>
  <c r="BL20" i="17"/>
  <c r="BK20" i="17"/>
  <c r="BJ20" i="17"/>
  <c r="BI20" i="17"/>
  <c r="BH20" i="17"/>
  <c r="BG20" i="17"/>
  <c r="BF20" i="17"/>
  <c r="BE20" i="17"/>
  <c r="BD20" i="17"/>
  <c r="BC20" i="17"/>
  <c r="BB20" i="17"/>
  <c r="BA20" i="17"/>
  <c r="AZ20" i="17"/>
  <c r="AY20" i="17"/>
  <c r="AX20" i="17"/>
  <c r="AW20" i="17"/>
  <c r="AV20" i="17"/>
  <c r="AU20" i="17"/>
  <c r="AT20" i="17"/>
  <c r="AS20" i="17"/>
  <c r="AP20" i="17"/>
  <c r="AO20" i="17"/>
  <c r="AO28" i="17" s="1"/>
  <c r="AN20" i="17"/>
  <c r="AM20" i="17"/>
  <c r="AL20" i="17"/>
  <c r="AK20" i="17"/>
  <c r="AJ20" i="17"/>
  <c r="AI20" i="17"/>
  <c r="AH20" i="17"/>
  <c r="AG20" i="17"/>
  <c r="AF20" i="17"/>
  <c r="AE20" i="17"/>
  <c r="AD20" i="17"/>
  <c r="AA20" i="17"/>
  <c r="Z20" i="17"/>
  <c r="Y20" i="17"/>
  <c r="X20" i="17"/>
  <c r="V20" i="17"/>
  <c r="U20" i="17"/>
  <c r="T20" i="17"/>
  <c r="S20" i="17"/>
  <c r="R20" i="17"/>
  <c r="Q20" i="17"/>
  <c r="CO11" i="12"/>
  <c r="CB11" i="12"/>
  <c r="AQ11" i="12"/>
  <c r="CO10" i="12"/>
  <c r="CB10" i="12"/>
  <c r="AC15" i="12"/>
  <c r="AC16" i="12" s="1"/>
  <c r="CD7" i="12"/>
  <c r="CE7" i="12" s="1"/>
  <c r="CF7" i="12" s="1"/>
  <c r="CG7" i="12" s="1"/>
  <c r="CH7" i="12" s="1"/>
  <c r="CI7" i="12" s="1"/>
  <c r="CJ7" i="12" s="1"/>
  <c r="CK7" i="12" s="1"/>
  <c r="CL7" i="12" s="1"/>
  <c r="CM7" i="12" s="1"/>
  <c r="CN7" i="12" s="1"/>
  <c r="CO7" i="12" s="1"/>
  <c r="CB7" i="12"/>
  <c r="AQ7" i="12"/>
  <c r="AR7" i="12" s="1"/>
  <c r="AS7" i="12" s="1"/>
  <c r="AT7" i="12" s="1"/>
  <c r="AU7" i="12" s="1"/>
  <c r="AV7" i="12" s="1"/>
  <c r="AW7" i="12" s="1"/>
  <c r="AX7" i="12" s="1"/>
  <c r="AY7" i="12" s="1"/>
  <c r="AZ7" i="12" s="1"/>
  <c r="BA7" i="12" s="1"/>
  <c r="BQ6" i="12"/>
  <c r="AQ6" i="12"/>
  <c r="AR6" i="12" s="1"/>
  <c r="AB6" i="12"/>
  <c r="E74" i="11"/>
  <c r="Q56" i="11"/>
  <c r="E39" i="11"/>
  <c r="Q37" i="11"/>
  <c r="Q33" i="11"/>
  <c r="Q16" i="11"/>
  <c r="Q14" i="11"/>
  <c r="Q12" i="11"/>
  <c r="Q10" i="11"/>
  <c r="AH21" i="10"/>
  <c r="AG21" i="10"/>
  <c r="AF21" i="10"/>
  <c r="AE21" i="10"/>
  <c r="AD21" i="10"/>
  <c r="AC21" i="10"/>
  <c r="AB21" i="10"/>
  <c r="U21" i="10"/>
  <c r="S21" i="10"/>
  <c r="R21" i="10"/>
  <c r="O21" i="10"/>
  <c r="L21" i="10"/>
  <c r="J21" i="10"/>
  <c r="Q21" i="10"/>
  <c r="AI20" i="10"/>
  <c r="V20" i="10"/>
  <c r="D20" i="10"/>
  <c r="AI19" i="10"/>
  <c r="V19" i="10"/>
  <c r="F19" i="10"/>
  <c r="AI18" i="10"/>
  <c r="V18" i="10"/>
  <c r="D18" i="10"/>
  <c r="AI17" i="10"/>
  <c r="V17" i="10"/>
  <c r="F17" i="10"/>
  <c r="D17" i="10" s="1"/>
  <c r="AI16" i="10"/>
  <c r="V16" i="10"/>
  <c r="F16" i="10"/>
  <c r="D16" i="10" s="1"/>
  <c r="AI15" i="10"/>
  <c r="V15" i="10"/>
  <c r="D15" i="10"/>
  <c r="AI14" i="10"/>
  <c r="V14" i="10"/>
  <c r="F14" i="10"/>
  <c r="AI13" i="10"/>
  <c r="V13" i="10"/>
  <c r="D13" i="10"/>
  <c r="AI12" i="10"/>
  <c r="V12" i="10"/>
  <c r="F12" i="10"/>
  <c r="D12" i="10" s="1"/>
  <c r="AI11" i="10"/>
  <c r="V11" i="10"/>
  <c r="D11" i="10"/>
  <c r="AI10" i="10"/>
  <c r="V10" i="10"/>
  <c r="F10" i="10"/>
  <c r="D10" i="10" s="1"/>
  <c r="AI9" i="10"/>
  <c r="V9" i="10"/>
  <c r="F9" i="10"/>
  <c r="D9" i="10" s="1"/>
  <c r="AI8" i="10"/>
  <c r="V8" i="10"/>
  <c r="F8" i="10"/>
  <c r="D8" i="10" s="1"/>
  <c r="AI7" i="10"/>
  <c r="V7" i="10"/>
  <c r="F7" i="10"/>
  <c r="D7" i="10" s="1"/>
  <c r="AI6" i="10"/>
  <c r="K6" i="10"/>
  <c r="V6" i="10" s="1"/>
  <c r="F6" i="10"/>
  <c r="D6" i="10" s="1"/>
  <c r="AI5" i="10"/>
  <c r="K5" i="10"/>
  <c r="H5" i="10" s="1"/>
  <c r="G5" i="10" s="1"/>
  <c r="D5" i="10"/>
  <c r="AI4" i="10"/>
  <c r="V4" i="10"/>
  <c r="F4" i="10"/>
  <c r="D4" i="10" s="1"/>
  <c r="AI3" i="10"/>
  <c r="V3" i="10"/>
  <c r="D3" i="10"/>
  <c r="AI2" i="10"/>
  <c r="V2" i="10"/>
  <c r="D2" i="10"/>
  <c r="AG22" i="9"/>
  <c r="W22" i="9"/>
  <c r="T22" i="9"/>
  <c r="R22" i="9"/>
  <c r="K22" i="9"/>
  <c r="L22" i="9"/>
  <c r="AH20" i="9"/>
  <c r="U20" i="9"/>
  <c r="AH19" i="9"/>
  <c r="U19" i="9"/>
  <c r="AH18" i="9"/>
  <c r="AH17" i="9"/>
  <c r="U17" i="9"/>
  <c r="AH16" i="9"/>
  <c r="AH15" i="9"/>
  <c r="U15" i="9"/>
  <c r="AH14" i="9"/>
  <c r="AH13" i="9"/>
  <c r="U13" i="9"/>
  <c r="AH12" i="9"/>
  <c r="U12" i="9"/>
  <c r="AH11" i="9"/>
  <c r="U11" i="9"/>
  <c r="AH10" i="9"/>
  <c r="U10" i="9"/>
  <c r="AH9" i="9"/>
  <c r="U9" i="9"/>
  <c r="U8" i="9"/>
  <c r="U7" i="9"/>
  <c r="G6" i="9"/>
  <c r="F6" i="9" s="1"/>
  <c r="AH2" i="9"/>
  <c r="U2" i="9"/>
  <c r="W44" i="3"/>
  <c r="L41" i="3"/>
  <c r="H41" i="3"/>
  <c r="I41" i="3" s="1"/>
  <c r="G41" i="3"/>
  <c r="L40" i="3"/>
  <c r="F40" i="3"/>
  <c r="D40" i="3"/>
  <c r="G40" i="3" s="1"/>
  <c r="L39" i="3"/>
  <c r="F39" i="3" s="1"/>
  <c r="H39" i="3" s="1"/>
  <c r="I39" i="3"/>
  <c r="G39" i="3"/>
  <c r="D39" i="3"/>
  <c r="L38" i="3"/>
  <c r="F38" i="3"/>
  <c r="D38" i="3"/>
  <c r="H38" i="3" s="1"/>
  <c r="I38" i="3" s="1"/>
  <c r="L37" i="3"/>
  <c r="D37" i="3"/>
  <c r="G37" i="3" s="1"/>
  <c r="L36" i="3"/>
  <c r="I36" i="3"/>
  <c r="H36" i="3"/>
  <c r="G36" i="3"/>
  <c r="D36" i="3"/>
  <c r="L35" i="3"/>
  <c r="H35" i="3"/>
  <c r="I35" i="3" s="1"/>
  <c r="G35" i="3"/>
  <c r="D35" i="3"/>
  <c r="L34" i="3"/>
  <c r="G34" i="3"/>
  <c r="D34" i="3"/>
  <c r="H34" i="3" s="1"/>
  <c r="I34" i="3" s="1"/>
  <c r="L33" i="3"/>
  <c r="H33" i="3"/>
  <c r="I33" i="3" s="1"/>
  <c r="G33" i="3"/>
  <c r="F33" i="3"/>
  <c r="D33" i="3"/>
  <c r="L32" i="3"/>
  <c r="F32" i="3"/>
  <c r="H32" i="3" s="1"/>
  <c r="I32" i="3" s="1"/>
  <c r="D32" i="3"/>
  <c r="G32" i="3" s="1"/>
  <c r="L31" i="3"/>
  <c r="D31" i="3"/>
  <c r="G31" i="3" s="1"/>
  <c r="L30" i="3"/>
  <c r="F30" i="3" s="1"/>
  <c r="D30" i="3"/>
  <c r="H30" i="3" s="1"/>
  <c r="I30" i="3" s="1"/>
  <c r="L29" i="3"/>
  <c r="G29" i="3"/>
  <c r="F29" i="3"/>
  <c r="H29" i="3" s="1"/>
  <c r="I29" i="3" s="1"/>
  <c r="D29" i="3"/>
  <c r="L28" i="3"/>
  <c r="G28" i="3"/>
  <c r="F28" i="3"/>
  <c r="D28" i="3"/>
  <c r="H28" i="3" s="1"/>
  <c r="I28" i="3" s="1"/>
  <c r="L27" i="3"/>
  <c r="G27" i="3"/>
  <c r="F27" i="3"/>
  <c r="H27" i="3" s="1"/>
  <c r="I27" i="3" s="1"/>
  <c r="D27" i="3"/>
  <c r="L26" i="3"/>
  <c r="F26" i="3" s="1"/>
  <c r="D26" i="3"/>
  <c r="G26" i="3" s="1"/>
  <c r="L25" i="3"/>
  <c r="F25" i="3" s="1"/>
  <c r="H25" i="3" s="1"/>
  <c r="I25" i="3" s="1"/>
  <c r="G25" i="3"/>
  <c r="D25" i="3"/>
  <c r="L24" i="3"/>
  <c r="F24" i="3" s="1"/>
  <c r="G24" i="3"/>
  <c r="D24" i="3"/>
  <c r="L23" i="3"/>
  <c r="F23" i="3"/>
  <c r="D23" i="3"/>
  <c r="H23" i="3" s="1"/>
  <c r="I23" i="3" s="1"/>
  <c r="L22" i="3"/>
  <c r="F22" i="3" s="1"/>
  <c r="H22" i="3" s="1"/>
  <c r="I22" i="3" s="1"/>
  <c r="D22" i="3"/>
  <c r="G22" i="3" s="1"/>
  <c r="L21" i="3"/>
  <c r="F21" i="3" s="1"/>
  <c r="H21" i="3" s="1"/>
  <c r="I21" i="3" s="1"/>
  <c r="G21" i="3"/>
  <c r="D21" i="3"/>
  <c r="L20" i="3"/>
  <c r="F20" i="3"/>
  <c r="D20" i="3"/>
  <c r="H20" i="3" s="1"/>
  <c r="I20" i="3" s="1"/>
  <c r="G19" i="3"/>
  <c r="F19" i="3"/>
  <c r="D19" i="3"/>
  <c r="H19" i="3" s="1"/>
  <c r="I19" i="3" s="1"/>
  <c r="L18" i="3"/>
  <c r="F18" i="3" s="1"/>
  <c r="H18" i="3"/>
  <c r="I18" i="3" s="1"/>
  <c r="G18" i="3"/>
  <c r="D18" i="3"/>
  <c r="L17" i="3"/>
  <c r="G17" i="3"/>
  <c r="F17" i="3"/>
  <c r="H17" i="3" s="1"/>
  <c r="I17" i="3" s="1"/>
  <c r="W17" i="3" s="1"/>
  <c r="D17" i="3"/>
  <c r="L16" i="3"/>
  <c r="F16" i="3"/>
  <c r="D16" i="3"/>
  <c r="H16" i="3" s="1"/>
  <c r="I16" i="3" s="1"/>
  <c r="H15" i="3"/>
  <c r="I15" i="3" s="1"/>
  <c r="Q15" i="3" s="1"/>
  <c r="G15" i="3"/>
  <c r="F15" i="3"/>
  <c r="D15" i="3"/>
  <c r="L14" i="3"/>
  <c r="F14" i="3"/>
  <c r="D14" i="3"/>
  <c r="G14" i="3" s="1"/>
  <c r="L13" i="3"/>
  <c r="F13" i="3" s="1"/>
  <c r="H13" i="3" s="1"/>
  <c r="I13" i="3" s="1"/>
  <c r="G13" i="3"/>
  <c r="D13" i="3"/>
  <c r="L12" i="3"/>
  <c r="H12" i="3"/>
  <c r="I12" i="3" s="1"/>
  <c r="V12" i="3" s="1"/>
  <c r="G12" i="3"/>
  <c r="F12" i="3"/>
  <c r="D12" i="3"/>
  <c r="L11" i="3"/>
  <c r="G11" i="3"/>
  <c r="F11" i="3"/>
  <c r="H11" i="3" s="1"/>
  <c r="I11" i="3" s="1"/>
  <c r="D11" i="3"/>
  <c r="L10" i="3"/>
  <c r="D10" i="3"/>
  <c r="H10" i="3" s="1"/>
  <c r="I10" i="3" s="1"/>
  <c r="L9" i="3"/>
  <c r="H9" i="3"/>
  <c r="I9" i="3" s="1"/>
  <c r="D9" i="3"/>
  <c r="G9" i="3" s="1"/>
  <c r="L8" i="3"/>
  <c r="F8" i="3"/>
  <c r="D8" i="3"/>
  <c r="G8" i="3" s="1"/>
  <c r="L7" i="3"/>
  <c r="G7" i="3"/>
  <c r="F7" i="3"/>
  <c r="H7" i="3" s="1"/>
  <c r="I7" i="3" s="1"/>
  <c r="D7" i="3"/>
  <c r="L6" i="3"/>
  <c r="F6" i="3" s="1"/>
  <c r="H6" i="3" s="1"/>
  <c r="I6" i="3" s="1"/>
  <c r="Q6" i="3" s="1"/>
  <c r="D6" i="3"/>
  <c r="G6" i="3" s="1"/>
  <c r="L5" i="3"/>
  <c r="H5" i="3"/>
  <c r="I5" i="3" s="1"/>
  <c r="Q5" i="3" s="1"/>
  <c r="G5" i="3"/>
  <c r="F5" i="3"/>
  <c r="D5" i="3"/>
  <c r="L4" i="3"/>
  <c r="G4" i="3"/>
  <c r="F4" i="3"/>
  <c r="D4" i="3"/>
  <c r="H4" i="3" s="1"/>
  <c r="I4" i="3" s="1"/>
  <c r="O4" i="3" s="1"/>
  <c r="L3" i="3"/>
  <c r="F3" i="3"/>
  <c r="D3" i="3"/>
  <c r="H3" i="3" s="1"/>
  <c r="I3" i="3" s="1"/>
  <c r="L2" i="3"/>
  <c r="F2" i="3" s="1"/>
  <c r="D2" i="3"/>
  <c r="AB8" i="6" l="1"/>
  <c r="AA8" i="6"/>
  <c r="Z7" i="6"/>
  <c r="N8" i="6"/>
  <c r="M6" i="6"/>
  <c r="AA7" i="6"/>
  <c r="F8" i="6"/>
  <c r="AB7" i="6"/>
  <c r="D8" i="6"/>
  <c r="M8" i="6"/>
  <c r="E8" i="6"/>
  <c r="N6" i="6"/>
  <c r="O8" i="6"/>
  <c r="M7" i="6"/>
  <c r="K8" i="6"/>
  <c r="E7" i="6"/>
  <c r="G8" i="6"/>
  <c r="R6" i="6"/>
  <c r="I8" i="6"/>
  <c r="I6" i="6"/>
  <c r="H8" i="6"/>
  <c r="L7" i="6"/>
  <c r="CD15" i="12"/>
  <c r="BO28" i="12"/>
  <c r="BF35" i="12"/>
  <c r="Q50" i="11"/>
  <c r="CB20" i="17"/>
  <c r="F16" i="12"/>
  <c r="G16" i="12"/>
  <c r="AQ28" i="12"/>
  <c r="AQ20" i="17"/>
  <c r="AQ31" i="17" s="1"/>
  <c r="H16" i="12"/>
  <c r="BX18" i="12"/>
  <c r="BX19" i="12"/>
  <c r="CB28" i="12"/>
  <c r="C16" i="12"/>
  <c r="AR20" i="17"/>
  <c r="AR31" i="17" s="1"/>
  <c r="N20" i="12"/>
  <c r="N15" i="12"/>
  <c r="M16" i="12"/>
  <c r="BU18" i="12"/>
  <c r="BU19" i="12"/>
  <c r="K16" i="12"/>
  <c r="L16" i="12"/>
  <c r="AA24" i="12"/>
  <c r="AB24" i="12" s="1"/>
  <c r="AR28" i="12"/>
  <c r="BV18" i="12"/>
  <c r="BV19" i="12"/>
  <c r="BO30" i="12"/>
  <c r="D16" i="12"/>
  <c r="BW18" i="12"/>
  <c r="BW19" i="12"/>
  <c r="CC43" i="17"/>
  <c r="AQ32" i="17"/>
  <c r="CO48" i="17"/>
  <c r="BB15" i="17"/>
  <c r="BB43" i="17"/>
  <c r="BH13" i="17"/>
  <c r="CB43" i="17"/>
  <c r="CO16" i="17"/>
  <c r="AB43" i="17"/>
  <c r="CO15" i="17"/>
  <c r="CO22" i="17"/>
  <c r="BF7" i="17"/>
  <c r="BF32" i="17" s="1"/>
  <c r="G14" i="9"/>
  <c r="U14" i="9"/>
  <c r="F7" i="9"/>
  <c r="F8" i="9"/>
  <c r="F17" i="9"/>
  <c r="F19" i="9"/>
  <c r="J22" i="9"/>
  <c r="F14" i="9"/>
  <c r="F12" i="9"/>
  <c r="G2" i="9"/>
  <c r="F2" i="9" s="1"/>
  <c r="G5" i="9"/>
  <c r="F5" i="9" s="1"/>
  <c r="U6" i="9"/>
  <c r="U5" i="9"/>
  <c r="G19" i="10"/>
  <c r="Y7" i="6"/>
  <c r="G17" i="10"/>
  <c r="G9" i="10"/>
  <c r="G10" i="10"/>
  <c r="G16" i="10"/>
  <c r="G8" i="10"/>
  <c r="G4" i="10"/>
  <c r="G7" i="10"/>
  <c r="G14" i="10"/>
  <c r="H6" i="10"/>
  <c r="G6" i="10" s="1"/>
  <c r="G12" i="10"/>
  <c r="W7" i="6"/>
  <c r="X7" i="6"/>
  <c r="V7" i="6"/>
  <c r="D14" i="10"/>
  <c r="BB28" i="17"/>
  <c r="BO28" i="17"/>
  <c r="Q17" i="11"/>
  <c r="Q59" i="11"/>
  <c r="G74" i="11"/>
  <c r="AJ13" i="3"/>
  <c r="AB13" i="3"/>
  <c r="AM13" i="3"/>
  <c r="AD13" i="3"/>
  <c r="AI13" i="3"/>
  <c r="AG13" i="3"/>
  <c r="AL13" i="3"/>
  <c r="AC13" i="3"/>
  <c r="Z13" i="3"/>
  <c r="AH13" i="3"/>
  <c r="AK13" i="3"/>
  <c r="AA13" i="3"/>
  <c r="AO13" i="3"/>
  <c r="AF13" i="3"/>
  <c r="AN13" i="3"/>
  <c r="AE13" i="3"/>
  <c r="H2" i="3"/>
  <c r="H24" i="3"/>
  <c r="I24" i="3" s="1"/>
  <c r="H37" i="3"/>
  <c r="I37" i="3" s="1"/>
  <c r="AE22" i="9"/>
  <c r="Z4" i="6" s="1"/>
  <c r="M21" i="10"/>
  <c r="G30" i="3"/>
  <c r="H14" i="3"/>
  <c r="I14" i="3" s="1"/>
  <c r="G20" i="3"/>
  <c r="AB6" i="6"/>
  <c r="G2" i="3"/>
  <c r="G23" i="3"/>
  <c r="G38" i="3"/>
  <c r="D22" i="9"/>
  <c r="P21" i="10"/>
  <c r="AD22" i="9"/>
  <c r="Y4" i="6" s="1"/>
  <c r="G3" i="3"/>
  <c r="G10" i="3"/>
  <c r="Z22" i="9"/>
  <c r="X21" i="10"/>
  <c r="W21" i="10"/>
  <c r="H8" i="3"/>
  <c r="K21" i="10"/>
  <c r="V5" i="10"/>
  <c r="G16" i="3"/>
  <c r="H26" i="3"/>
  <c r="I26" i="3" s="1"/>
  <c r="H31" i="3"/>
  <c r="I31" i="3" s="1"/>
  <c r="AA22" i="9"/>
  <c r="D19" i="10"/>
  <c r="O22" i="9"/>
  <c r="J4" i="6" s="1"/>
  <c r="J6" i="6" s="1"/>
  <c r="Y21" i="10"/>
  <c r="AA21" i="10"/>
  <c r="AI21" i="10"/>
  <c r="X22" i="9"/>
  <c r="AH22" i="9"/>
  <c r="H40" i="3"/>
  <c r="I40" i="3" s="1"/>
  <c r="I22" i="9"/>
  <c r="Q22" i="9"/>
  <c r="L4" i="6" s="1"/>
  <c r="L6" i="6" s="1"/>
  <c r="Y22" i="9"/>
  <c r="Z21" i="10"/>
  <c r="W29" i="12"/>
  <c r="BQ15" i="12"/>
  <c r="BR6" i="12"/>
  <c r="H74" i="11"/>
  <c r="CE6" i="12"/>
  <c r="CE15" i="12" s="1"/>
  <c r="CD16" i="12"/>
  <c r="H22" i="9"/>
  <c r="V22" i="9"/>
  <c r="F21" i="10"/>
  <c r="T21" i="10"/>
  <c r="BC7" i="12"/>
  <c r="BD7" i="12" s="1"/>
  <c r="BE7" i="12" s="1"/>
  <c r="BF7" i="12" s="1"/>
  <c r="BG7" i="12" s="1"/>
  <c r="BH7" i="12" s="1"/>
  <c r="BI7" i="12" s="1"/>
  <c r="BJ7" i="12" s="1"/>
  <c r="BK7" i="12" s="1"/>
  <c r="BL7" i="12" s="1"/>
  <c r="BM7" i="12" s="1"/>
  <c r="BN7" i="12" s="1"/>
  <c r="BO7" i="12" s="1"/>
  <c r="BB7" i="12"/>
  <c r="P22" i="9"/>
  <c r="K4" i="6" s="1"/>
  <c r="K6" i="6" s="1"/>
  <c r="AF22" i="9"/>
  <c r="N21" i="10"/>
  <c r="Q52" i="11"/>
  <c r="Q73" i="11"/>
  <c r="F74" i="11"/>
  <c r="V29" i="12"/>
  <c r="AN29" i="12"/>
  <c r="AN24" i="12"/>
  <c r="AC29" i="12"/>
  <c r="AO29" i="12" s="1"/>
  <c r="AB15" i="12"/>
  <c r="P16" i="12"/>
  <c r="AH29" i="12"/>
  <c r="U29" i="12"/>
  <c r="X29" i="12"/>
  <c r="Y29" i="12"/>
  <c r="AD29" i="12"/>
  <c r="AS6" i="12"/>
  <c r="T32" i="17"/>
  <c r="T31" i="17"/>
  <c r="AC20" i="17"/>
  <c r="AC37" i="17" s="1"/>
  <c r="AC19" i="12"/>
  <c r="AO19" i="12" s="1"/>
  <c r="AK31" i="17"/>
  <c r="AK32" i="17"/>
  <c r="AS31" i="17"/>
  <c r="BA31" i="17"/>
  <c r="BI31" i="17"/>
  <c r="BQ20" i="17"/>
  <c r="BQ19" i="12"/>
  <c r="BQ18" i="12"/>
  <c r="BY20" i="17"/>
  <c r="BY19" i="12"/>
  <c r="BY18" i="12"/>
  <c r="AE29" i="12"/>
  <c r="Q57" i="11"/>
  <c r="U32" i="17"/>
  <c r="U31" i="17"/>
  <c r="AD31" i="17"/>
  <c r="AD32" i="17"/>
  <c r="AD28" i="17"/>
  <c r="AL31" i="17"/>
  <c r="AL32" i="17"/>
  <c r="AT31" i="17"/>
  <c r="AT28" i="17"/>
  <c r="BJ31" i="17"/>
  <c r="BR20" i="17"/>
  <c r="BR19" i="12"/>
  <c r="BR18" i="12"/>
  <c r="BZ20" i="17"/>
  <c r="BZ19" i="12"/>
  <c r="BZ18" i="12"/>
  <c r="AF29" i="12"/>
  <c r="AO16" i="12"/>
  <c r="AG29" i="12"/>
  <c r="AO15" i="12"/>
  <c r="BO20" i="12"/>
  <c r="AM29" i="12"/>
  <c r="S31" i="17"/>
  <c r="S32" i="17"/>
  <c r="AA31" i="17"/>
  <c r="AA32" i="17"/>
  <c r="AJ28" i="17"/>
  <c r="AJ31" i="17"/>
  <c r="AJ32" i="17"/>
  <c r="AZ31" i="17"/>
  <c r="BH31" i="17"/>
  <c r="BP31" i="17"/>
  <c r="BX31" i="17"/>
  <c r="Q29" i="12"/>
  <c r="BP18" i="12"/>
  <c r="CB30" i="12"/>
  <c r="P21" i="17"/>
  <c r="P34" i="17" s="1"/>
  <c r="X21" i="17"/>
  <c r="X34" i="17" s="1"/>
  <c r="AG21" i="17"/>
  <c r="AW21" i="17"/>
  <c r="AW28" i="17" s="1"/>
  <c r="BE21" i="17"/>
  <c r="BM21" i="17"/>
  <c r="BM28" i="17" s="1"/>
  <c r="BU21" i="17"/>
  <c r="Q21" i="17"/>
  <c r="Y21" i="17"/>
  <c r="Y37" i="17" s="1"/>
  <c r="AH21" i="17"/>
  <c r="AH28" i="17" s="1"/>
  <c r="AP21" i="17"/>
  <c r="AP28" i="17" s="1"/>
  <c r="AX21" i="17"/>
  <c r="AX28" i="17" s="1"/>
  <c r="BF21" i="17"/>
  <c r="BF28" i="17" s="1"/>
  <c r="BN21" i="17"/>
  <c r="BN28" i="17" s="1"/>
  <c r="BV21" i="17"/>
  <c r="BV28" i="17" s="1"/>
  <c r="BB20" i="12"/>
  <c r="AP20" i="12"/>
  <c r="BP19" i="12"/>
  <c r="AP15" i="12"/>
  <c r="R29" i="12"/>
  <c r="Z29" i="12"/>
  <c r="BB30" i="12"/>
  <c r="R31" i="17"/>
  <c r="R32" i="17"/>
  <c r="Z31" i="17"/>
  <c r="Z32" i="17"/>
  <c r="AI31" i="17"/>
  <c r="AI32" i="17"/>
  <c r="AY31" i="17"/>
  <c r="BG31" i="17"/>
  <c r="BW31" i="17"/>
  <c r="B16" i="12"/>
  <c r="J16" i="12"/>
  <c r="AB20" i="12"/>
  <c r="Q31" i="17"/>
  <c r="Q32" i="17"/>
  <c r="Y31" i="17"/>
  <c r="Y32" i="17"/>
  <c r="AH31" i="17"/>
  <c r="AH32" i="17"/>
  <c r="AP31" i="17"/>
  <c r="AX31" i="17"/>
  <c r="BF31" i="17"/>
  <c r="BN31" i="17"/>
  <c r="BV31" i="17"/>
  <c r="BT18" i="12"/>
  <c r="BT19" i="12"/>
  <c r="BB33" i="17"/>
  <c r="V31" i="17"/>
  <c r="V32" i="17"/>
  <c r="AE32" i="17"/>
  <c r="AE31" i="17"/>
  <c r="AM32" i="17"/>
  <c r="AM31" i="17"/>
  <c r="AU31" i="17"/>
  <c r="AU28" i="17"/>
  <c r="BC31" i="17"/>
  <c r="BK31" i="17"/>
  <c r="BK28" i="17"/>
  <c r="BS31" i="17"/>
  <c r="CA31" i="17"/>
  <c r="BC33" i="17"/>
  <c r="BP28" i="17"/>
  <c r="R21" i="17"/>
  <c r="Z21" i="17"/>
  <c r="Z37" i="17" s="1"/>
  <c r="AI21" i="17"/>
  <c r="AI34" i="17" s="1"/>
  <c r="AQ21" i="17"/>
  <c r="AQ37" i="17" s="1"/>
  <c r="AY21" i="17"/>
  <c r="BG21" i="17"/>
  <c r="BW21" i="17"/>
  <c r="BW28" i="17" s="1"/>
  <c r="AF32" i="17"/>
  <c r="AF31" i="17"/>
  <c r="AN32" i="17"/>
  <c r="AN31" i="17"/>
  <c r="AV31" i="17"/>
  <c r="BD31" i="17"/>
  <c r="BL31" i="17"/>
  <c r="BL28" i="17"/>
  <c r="BT31" i="17"/>
  <c r="W33" i="17"/>
  <c r="S21" i="17"/>
  <c r="AA21" i="17"/>
  <c r="AR21" i="17"/>
  <c r="AZ21" i="17"/>
  <c r="AZ28" i="17" s="1"/>
  <c r="BH21" i="17"/>
  <c r="BX21" i="17"/>
  <c r="BX28" i="17" s="1"/>
  <c r="X32" i="17"/>
  <c r="X31" i="17"/>
  <c r="AG32" i="17"/>
  <c r="AG31" i="17"/>
  <c r="AW31" i="17"/>
  <c r="BE31" i="17"/>
  <c r="BM31" i="17"/>
  <c r="BU31" i="17"/>
  <c r="BS18" i="12"/>
  <c r="CA18" i="12"/>
  <c r="BS19" i="12"/>
  <c r="CA19" i="12"/>
  <c r="CB21" i="17"/>
  <c r="CB28" i="17" s="1"/>
  <c r="BP23" i="17"/>
  <c r="BH10" i="17"/>
  <c r="BG33" i="17"/>
  <c r="AO33" i="17"/>
  <c r="W21" i="17"/>
  <c r="AF21" i="17"/>
  <c r="AF34" i="17" s="1"/>
  <c r="AN21" i="17"/>
  <c r="AV21" i="17"/>
  <c r="BD21" i="17"/>
  <c r="BD28" i="17" s="1"/>
  <c r="BT21" i="17"/>
  <c r="BT28" i="17" s="1"/>
  <c r="T21" i="17"/>
  <c r="AK21" i="17"/>
  <c r="AK28" i="17" s="1"/>
  <c r="AS21" i="17"/>
  <c r="BA21" i="17"/>
  <c r="BI21" i="17"/>
  <c r="BQ21" i="17"/>
  <c r="BY21" i="17"/>
  <c r="U21" i="17"/>
  <c r="U34" i="17" s="1"/>
  <c r="AL21" i="17"/>
  <c r="BJ21" i="17"/>
  <c r="BR21" i="17"/>
  <c r="BZ21" i="17"/>
  <c r="AR9" i="17"/>
  <c r="V21" i="17"/>
  <c r="AE21" i="17"/>
  <c r="AE28" i="17" s="1"/>
  <c r="AM21" i="17"/>
  <c r="BC21" i="17"/>
  <c r="BC28" i="17" s="1"/>
  <c r="BS21" i="17"/>
  <c r="CA21" i="17"/>
  <c r="CA28" i="17" s="1"/>
  <c r="AO7" i="17"/>
  <c r="BG7" i="17"/>
  <c r="AO12" i="17"/>
  <c r="BF33" i="17"/>
  <c r="BF11" i="17"/>
  <c r="AS7" i="17"/>
  <c r="AR32" i="17"/>
  <c r="BP33" i="17"/>
  <c r="BP18" i="17"/>
  <c r="BQ18" i="17" s="1"/>
  <c r="BQ10" i="17"/>
  <c r="BM15" i="17"/>
  <c r="AJ37" i="17"/>
  <c r="AP8" i="17"/>
  <c r="BQ12" i="17"/>
  <c r="P32" i="17"/>
  <c r="P31" i="17"/>
  <c r="CE6" i="17"/>
  <c r="CF6" i="17" s="1"/>
  <c r="CG6" i="17" s="1"/>
  <c r="CH6" i="17" s="1"/>
  <c r="CI6" i="17" s="1"/>
  <c r="CJ6" i="17" s="1"/>
  <c r="CK6" i="17" s="1"/>
  <c r="CL6" i="17" s="1"/>
  <c r="CM6" i="17" s="1"/>
  <c r="CN6" i="17" s="1"/>
  <c r="BD32" i="17"/>
  <c r="AO13" i="17"/>
  <c r="AC43" i="17"/>
  <c r="AO43" i="17" s="1"/>
  <c r="AJ34" i="17"/>
  <c r="AO9" i="17"/>
  <c r="AO8" i="17"/>
  <c r="AD37" i="17"/>
  <c r="AD34" i="17"/>
  <c r="BQ48" i="17"/>
  <c r="CB48" i="17" s="1"/>
  <c r="CB16" i="17"/>
  <c r="BE33" i="17"/>
  <c r="AO11" i="17"/>
  <c r="BE12" i="17"/>
  <c r="BD33" i="17"/>
  <c r="BO48" i="17"/>
  <c r="CO47" i="17"/>
  <c r="Q15" i="11"/>
  <c r="L8" i="6" l="1"/>
  <c r="J8" i="6"/>
  <c r="BB28" i="12"/>
  <c r="X37" i="17"/>
  <c r="Y34" i="17"/>
  <c r="AF37" i="17"/>
  <c r="AP37" i="17"/>
  <c r="AQ15" i="12"/>
  <c r="AQ16" i="12" s="1"/>
  <c r="AQ29" i="12" s="1"/>
  <c r="AC34" i="17"/>
  <c r="AH34" i="17"/>
  <c r="AI37" i="17"/>
  <c r="AK37" i="17"/>
  <c r="AQ28" i="17"/>
  <c r="AK34" i="17"/>
  <c r="W34" i="17"/>
  <c r="AE37" i="17"/>
  <c r="AH37" i="17"/>
  <c r="Z34" i="17"/>
  <c r="AA34" i="17"/>
  <c r="BH43" i="17"/>
  <c r="BI13" i="17"/>
  <c r="U37" i="17"/>
  <c r="X49" i="17"/>
  <c r="Q37" i="17"/>
  <c r="G18" i="9"/>
  <c r="F18" i="9" s="1"/>
  <c r="U18" i="9"/>
  <c r="S22" i="9"/>
  <c r="U16" i="9"/>
  <c r="G16" i="9"/>
  <c r="F16" i="9" s="1"/>
  <c r="D21" i="10"/>
  <c r="BS28" i="17"/>
  <c r="BU28" i="17"/>
  <c r="BR20" i="12"/>
  <c r="AL34" i="17"/>
  <c r="AL49" i="17" s="1"/>
  <c r="AQ8" i="17"/>
  <c r="AS17" i="17"/>
  <c r="AT17" i="17" s="1"/>
  <c r="AP34" i="17"/>
  <c r="AP49" i="17" s="1"/>
  <c r="AN28" i="17"/>
  <c r="BO31" i="17"/>
  <c r="V37" i="17"/>
  <c r="BG28" i="17"/>
  <c r="R49" i="17"/>
  <c r="BP20" i="12"/>
  <c r="CB19" i="12"/>
  <c r="AS15" i="12"/>
  <c r="AS16" i="12" s="1"/>
  <c r="AT6" i="12"/>
  <c r="AA6" i="6"/>
  <c r="AO8" i="3"/>
  <c r="AG8" i="3"/>
  <c r="Y8" i="3"/>
  <c r="Q8" i="3"/>
  <c r="AN8" i="3"/>
  <c r="AE8" i="3"/>
  <c r="V8" i="3"/>
  <c r="M8" i="3"/>
  <c r="AD8" i="3"/>
  <c r="AK8" i="3"/>
  <c r="AB8" i="3"/>
  <c r="S8" i="3"/>
  <c r="P8" i="3"/>
  <c r="AM8" i="3"/>
  <c r="U8" i="3"/>
  <c r="AA8" i="3"/>
  <c r="AL8" i="3"/>
  <c r="AC8" i="3"/>
  <c r="T8" i="3"/>
  <c r="I8" i="3"/>
  <c r="AJ8" i="3"/>
  <c r="R8" i="3"/>
  <c r="Z8" i="3"/>
  <c r="AI8" i="3"/>
  <c r="AH8" i="3"/>
  <c r="X8" i="3"/>
  <c r="O8" i="3"/>
  <c r="AF8" i="3"/>
  <c r="W8" i="3"/>
  <c r="N8" i="3"/>
  <c r="AN37" i="17"/>
  <c r="AG34" i="17"/>
  <c r="AG49" i="17" s="1"/>
  <c r="AL37" i="17"/>
  <c r="P37" i="17"/>
  <c r="AN34" i="17"/>
  <c r="AN49" i="17" s="1"/>
  <c r="BG32" i="17"/>
  <c r="BH7" i="17"/>
  <c r="BE28" i="17"/>
  <c r="Q34" i="17"/>
  <c r="Q49" i="17" s="1"/>
  <c r="R34" i="17"/>
  <c r="AJ49" i="17"/>
  <c r="AD49" i="17"/>
  <c r="BY28" i="17"/>
  <c r="BY31" i="17"/>
  <c r="AS28" i="17"/>
  <c r="AC32" i="17"/>
  <c r="AO32" i="17" s="1"/>
  <c r="AC31" i="17"/>
  <c r="AC28" i="17"/>
  <c r="AR15" i="12"/>
  <c r="AR16" i="12" s="1"/>
  <c r="AC22" i="9"/>
  <c r="X4" i="6" s="1"/>
  <c r="AB22" i="9"/>
  <c r="W4" i="6" s="1"/>
  <c r="F46" i="11"/>
  <c r="CB18" i="12"/>
  <c r="AB16" i="12"/>
  <c r="P29" i="12"/>
  <c r="AB29" i="12" s="1"/>
  <c r="AF49" i="17"/>
  <c r="U49" i="17"/>
  <c r="BS6" i="12"/>
  <c r="BR15" i="12"/>
  <c r="BR16" i="12" s="1"/>
  <c r="AQ2" i="3"/>
  <c r="AI2" i="3"/>
  <c r="AA2" i="3"/>
  <c r="S2" i="3"/>
  <c r="AR2" i="3"/>
  <c r="AH2" i="3"/>
  <c r="Y2" i="3"/>
  <c r="I2" i="3"/>
  <c r="AP2" i="3"/>
  <c r="AG2" i="3"/>
  <c r="X2" i="3"/>
  <c r="AF2" i="3"/>
  <c r="AM2" i="3"/>
  <c r="AU2" i="3"/>
  <c r="T2" i="3"/>
  <c r="W2" i="3"/>
  <c r="AN2" i="3"/>
  <c r="U2" i="3"/>
  <c r="AO2" i="3"/>
  <c r="AE2" i="3"/>
  <c r="V2" i="3"/>
  <c r="AD2" i="3"/>
  <c r="AC2" i="3"/>
  <c r="AT2" i="3"/>
  <c r="AK2" i="3"/>
  <c r="AB2" i="3"/>
  <c r="R2" i="3"/>
  <c r="AS2" i="3"/>
  <c r="AJ2" i="3"/>
  <c r="Z2" i="3"/>
  <c r="AL2" i="3"/>
  <c r="V21" i="10"/>
  <c r="N22" i="9"/>
  <c r="AR37" i="17"/>
  <c r="AS9" i="17"/>
  <c r="AY28" i="17"/>
  <c r="V34" i="17"/>
  <c r="V49" i="17" s="1"/>
  <c r="BB31" i="17"/>
  <c r="Z49" i="17"/>
  <c r="BH28" i="17"/>
  <c r="BZ31" i="17"/>
  <c r="BZ28" i="17"/>
  <c r="AM37" i="17"/>
  <c r="BO15" i="17"/>
  <c r="AF28" i="17"/>
  <c r="I74" i="11"/>
  <c r="BQ16" i="12"/>
  <c r="I68" i="11"/>
  <c r="P68" i="11"/>
  <c r="H68" i="11"/>
  <c r="N68" i="11"/>
  <c r="F68" i="11"/>
  <c r="L68" i="11"/>
  <c r="O68" i="11"/>
  <c r="M68" i="11"/>
  <c r="G68" i="11"/>
  <c r="J68" i="11"/>
  <c r="K68" i="11"/>
  <c r="AE34" i="17"/>
  <c r="AG28" i="17"/>
  <c r="W37" i="17"/>
  <c r="W49" i="17" s="1"/>
  <c r="AI28" i="17"/>
  <c r="AA37" i="17"/>
  <c r="S34" i="17"/>
  <c r="AK23" i="12"/>
  <c r="AK25" i="12" s="1"/>
  <c r="AC23" i="12"/>
  <c r="AJ23" i="12"/>
  <c r="AJ25" i="12" s="1"/>
  <c r="AI23" i="12"/>
  <c r="AI25" i="12" s="1"/>
  <c r="AL23" i="12"/>
  <c r="AL25" i="12" s="1"/>
  <c r="AD23" i="12"/>
  <c r="AD25" i="12" s="1"/>
  <c r="AM23" i="12"/>
  <c r="AM25" i="12" s="1"/>
  <c r="AH23" i="12"/>
  <c r="AH25" i="12" s="1"/>
  <c r="AG23" i="12"/>
  <c r="AG25" i="12" s="1"/>
  <c r="AN23" i="12"/>
  <c r="AN25" i="12" s="1"/>
  <c r="AF23" i="12"/>
  <c r="AF25" i="12" s="1"/>
  <c r="AE23" i="12"/>
  <c r="AE25" i="12" s="1"/>
  <c r="BI28" i="17"/>
  <c r="AK49" i="17"/>
  <c r="T34" i="17"/>
  <c r="AO24" i="12"/>
  <c r="F22" i="11"/>
  <c r="U6" i="6"/>
  <c r="P49" i="17"/>
  <c r="AB31" i="17"/>
  <c r="AP16" i="12"/>
  <c r="AM49" i="17"/>
  <c r="AB32" i="17"/>
  <c r="AG37" i="17"/>
  <c r="AM28" i="17"/>
  <c r="N16" i="12"/>
  <c r="BG11" i="17"/>
  <c r="BI10" i="17"/>
  <c r="BH33" i="17"/>
  <c r="AV28" i="17"/>
  <c r="S37" i="17"/>
  <c r="BR31" i="17"/>
  <c r="BR28" i="17"/>
  <c r="T37" i="17"/>
  <c r="T49" i="17" s="1"/>
  <c r="CE16" i="12"/>
  <c r="CF6" i="12"/>
  <c r="CF15" i="12" s="1"/>
  <c r="Z6" i="6"/>
  <c r="Z8" i="6"/>
  <c r="R37" i="17"/>
  <c r="AL28" i="17"/>
  <c r="AM34" i="17"/>
  <c r="Y49" i="17"/>
  <c r="S49" i="17"/>
  <c r="BQ28" i="17"/>
  <c r="BQ31" i="17"/>
  <c r="BF12" i="17"/>
  <c r="CO6" i="17"/>
  <c r="BR12" i="17"/>
  <c r="BR10" i="17"/>
  <c r="BQ33" i="17"/>
  <c r="AT7" i="17"/>
  <c r="AS32" i="17"/>
  <c r="AB33" i="17"/>
  <c r="AH49" i="17"/>
  <c r="AI49" i="17"/>
  <c r="AR28" i="17"/>
  <c r="AA49" i="17"/>
  <c r="BJ28" i="17"/>
  <c r="BA28" i="17"/>
  <c r="AC20" i="12"/>
  <c r="AO20" i="12" s="1"/>
  <c r="BQ20" i="12"/>
  <c r="AO37" i="17" l="1"/>
  <c r="AO34" i="17"/>
  <c r="BI43" i="17"/>
  <c r="BJ13" i="17"/>
  <c r="AW18" i="17"/>
  <c r="AW17" i="17"/>
  <c r="G22" i="11"/>
  <c r="AE26" i="12"/>
  <c r="AE31" i="12" s="1"/>
  <c r="CD31" i="17"/>
  <c r="CD28" i="17"/>
  <c r="T8" i="6"/>
  <c r="T7" i="6"/>
  <c r="AF26" i="12"/>
  <c r="AF31" i="12" s="1"/>
  <c r="AB34" i="17"/>
  <c r="BG12" i="17"/>
  <c r="Q7" i="6"/>
  <c r="Q8" i="6"/>
  <c r="AK26" i="12"/>
  <c r="AK31" i="12" s="1"/>
  <c r="U8" i="6"/>
  <c r="U7" i="6"/>
  <c r="R7" i="6"/>
  <c r="R8" i="6"/>
  <c r="U23" i="12"/>
  <c r="U25" i="12" s="1"/>
  <c r="T23" i="12"/>
  <c r="T25" i="12" s="1"/>
  <c r="AA23" i="12"/>
  <c r="AA25" i="12" s="1"/>
  <c r="S23" i="12"/>
  <c r="S25" i="12" s="1"/>
  <c r="V23" i="12"/>
  <c r="V25" i="12" s="1"/>
  <c r="W23" i="12"/>
  <c r="W25" i="12" s="1"/>
  <c r="R23" i="12"/>
  <c r="R25" i="12" s="1"/>
  <c r="Q23" i="12"/>
  <c r="Q25" i="12" s="1"/>
  <c r="X23" i="12"/>
  <c r="X25" i="12" s="1"/>
  <c r="Z23" i="12"/>
  <c r="Z25" i="12" s="1"/>
  <c r="Y23" i="12"/>
  <c r="Y25" i="12" s="1"/>
  <c r="P23" i="12"/>
  <c r="AC49" i="17"/>
  <c r="AO31" i="17"/>
  <c r="AO49" i="17" s="1"/>
  <c r="AB37" i="17"/>
  <c r="AE49" i="17"/>
  <c r="AH26" i="12"/>
  <c r="AH31" i="12" s="1"/>
  <c r="F23" i="11"/>
  <c r="Q60" i="11"/>
  <c r="AQ34" i="17"/>
  <c r="AQ49" i="17" s="1"/>
  <c r="AR8" i="17"/>
  <c r="H21" i="10"/>
  <c r="BS12" i="17"/>
  <c r="Q6" i="6"/>
  <c r="AI26" i="12"/>
  <c r="AI31" i="12" s="1"/>
  <c r="AR29" i="12"/>
  <c r="CC16" i="12"/>
  <c r="AJ26" i="12"/>
  <c r="AJ31" i="12" s="1"/>
  <c r="L23" i="12"/>
  <c r="L25" i="12" s="1"/>
  <c r="D23" i="12"/>
  <c r="D25" i="12" s="1"/>
  <c r="K23" i="12"/>
  <c r="K25" i="12" s="1"/>
  <c r="C23" i="12"/>
  <c r="C25" i="12" s="1"/>
  <c r="J23" i="12"/>
  <c r="J25" i="12" s="1"/>
  <c r="B23" i="12"/>
  <c r="M24" i="12"/>
  <c r="N24" i="12" s="1"/>
  <c r="M23" i="12"/>
  <c r="E23" i="12"/>
  <c r="E25" i="12" s="1"/>
  <c r="F23" i="12"/>
  <c r="F25" i="12" s="1"/>
  <c r="G23" i="12"/>
  <c r="G25" i="12" s="1"/>
  <c r="I23" i="12"/>
  <c r="I25" i="12" s="1"/>
  <c r="H23" i="12"/>
  <c r="H25" i="12" s="1"/>
  <c r="AN26" i="12"/>
  <c r="AN31" i="12" s="1"/>
  <c r="Y6" i="6"/>
  <c r="Y8" i="6"/>
  <c r="T6" i="6"/>
  <c r="BQ29" i="12"/>
  <c r="AS37" i="17"/>
  <c r="AT9" i="17"/>
  <c r="BS20" i="12"/>
  <c r="AD26" i="12"/>
  <c r="AD31" i="12" s="1"/>
  <c r="J74" i="11"/>
  <c r="BR29" i="12"/>
  <c r="BI7" i="17"/>
  <c r="BH32" i="17"/>
  <c r="AS29" i="12"/>
  <c r="CB31" i="17"/>
  <c r="S6" i="6"/>
  <c r="AP29" i="12"/>
  <c r="V6" i="6"/>
  <c r="V8" i="6"/>
  <c r="AC25" i="12"/>
  <c r="AO23" i="12"/>
  <c r="AU7" i="17"/>
  <c r="AT32" i="17"/>
  <c r="AG26" i="12"/>
  <c r="AG31" i="12" s="1"/>
  <c r="AB49" i="17"/>
  <c r="AM26" i="12"/>
  <c r="AM31" i="12" s="1"/>
  <c r="AU6" i="12"/>
  <c r="AT15" i="12"/>
  <c r="BS10" i="17"/>
  <c r="BR33" i="17"/>
  <c r="CF16" i="12"/>
  <c r="CG6" i="12"/>
  <c r="CG15" i="12" s="1"/>
  <c r="BI33" i="17"/>
  <c r="BJ10" i="17"/>
  <c r="BH11" i="17"/>
  <c r="AL26" i="12"/>
  <c r="AL31" i="12" s="1"/>
  <c r="G46" i="11"/>
  <c r="BT6" i="12"/>
  <c r="BS15" i="12"/>
  <c r="S7" i="6"/>
  <c r="S8" i="6"/>
  <c r="G21" i="10"/>
  <c r="M25" i="12" l="1"/>
  <c r="AI32" i="12"/>
  <c r="AJ32" i="12"/>
  <c r="BJ43" i="17"/>
  <c r="BK13" i="17"/>
  <c r="Q58" i="11"/>
  <c r="BJ7" i="17"/>
  <c r="BI32" i="17"/>
  <c r="H26" i="12"/>
  <c r="H31" i="12" s="1"/>
  <c r="H32" i="12" s="1"/>
  <c r="H34" i="12" s="1"/>
  <c r="J26" i="12"/>
  <c r="J31" i="12" s="1"/>
  <c r="J32" i="12" s="1"/>
  <c r="J34" i="12" s="1"/>
  <c r="X26" i="12"/>
  <c r="X31" i="12" s="1"/>
  <c r="U26" i="12"/>
  <c r="U31" i="12" s="1"/>
  <c r="H46" i="11"/>
  <c r="E68" i="11"/>
  <c r="Q68" i="11" s="1"/>
  <c r="Q67" i="11"/>
  <c r="BU6" i="12"/>
  <c r="BT15" i="12"/>
  <c r="BT16" i="12" s="1"/>
  <c r="AL32" i="12"/>
  <c r="CG16" i="12"/>
  <c r="CH6" i="12"/>
  <c r="CH15" i="12" s="1"/>
  <c r="AM32" i="12"/>
  <c r="I26" i="12"/>
  <c r="I31" i="12" s="1"/>
  <c r="I32" i="12" s="1"/>
  <c r="I34" i="12" s="1"/>
  <c r="C26" i="12"/>
  <c r="C31" i="12" s="1"/>
  <c r="C32" i="12" s="1"/>
  <c r="C34" i="12" s="1"/>
  <c r="BT12" i="17"/>
  <c r="CC28" i="17"/>
  <c r="Q26" i="12"/>
  <c r="Q31" i="12" s="1"/>
  <c r="BH12" i="17"/>
  <c r="R26" i="12"/>
  <c r="R31" i="12" s="1"/>
  <c r="BI11" i="17"/>
  <c r="G26" i="12"/>
  <c r="G31" i="12" s="1"/>
  <c r="G32" i="12" s="1"/>
  <c r="G34" i="12" s="1"/>
  <c r="K26" i="12"/>
  <c r="K31" i="12" s="1"/>
  <c r="K32" i="12" s="1"/>
  <c r="K34" i="12" s="1"/>
  <c r="AD32" i="12"/>
  <c r="BT20" i="12"/>
  <c r="F26" i="12"/>
  <c r="F31" i="12" s="1"/>
  <c r="F32" i="12" s="1"/>
  <c r="F34" i="12" s="1"/>
  <c r="BT10" i="17"/>
  <c r="BS33" i="17"/>
  <c r="AG32" i="12"/>
  <c r="E26" i="12"/>
  <c r="E31" i="12" s="1"/>
  <c r="E32" i="12" s="1"/>
  <c r="E34" i="12" s="1"/>
  <c r="V26" i="12"/>
  <c r="V31" i="12" s="1"/>
  <c r="AT37" i="17"/>
  <c r="AU9" i="17"/>
  <c r="M26" i="12"/>
  <c r="M31" i="12" s="1"/>
  <c r="M32" i="12" s="1"/>
  <c r="M34" i="12" s="1"/>
  <c r="X6" i="6"/>
  <c r="X8" i="6"/>
  <c r="AB23" i="12"/>
  <c r="P25" i="12"/>
  <c r="S26" i="12"/>
  <c r="S31" i="12" s="1"/>
  <c r="BS16" i="12"/>
  <c r="D26" i="12"/>
  <c r="D31" i="12" s="1"/>
  <c r="D32" i="12" s="1"/>
  <c r="D34" i="12" s="1"/>
  <c r="AR34" i="17"/>
  <c r="AS8" i="17"/>
  <c r="W26" i="12"/>
  <c r="W31" i="12" s="1"/>
  <c r="AU32" i="17"/>
  <c r="AV7" i="17"/>
  <c r="CE31" i="17"/>
  <c r="CE28" i="17"/>
  <c r="AF32" i="12"/>
  <c r="BJ33" i="17"/>
  <c r="BK10" i="17"/>
  <c r="AO25" i="12"/>
  <c r="E22" i="11"/>
  <c r="Y26" i="12"/>
  <c r="Y31" i="12" s="1"/>
  <c r="AA26" i="12"/>
  <c r="AA31" i="12" s="1"/>
  <c r="H22" i="11"/>
  <c r="AT16" i="12"/>
  <c r="W6" i="6"/>
  <c r="W8" i="6"/>
  <c r="L26" i="12"/>
  <c r="L31" i="12" s="1"/>
  <c r="L32" i="12" s="1"/>
  <c r="L34" i="12" s="1"/>
  <c r="AU15" i="12"/>
  <c r="AU16" i="12" s="1"/>
  <c r="AV6" i="12"/>
  <c r="AC26" i="12"/>
  <c r="K74" i="11"/>
  <c r="AN32" i="12"/>
  <c r="B25" i="12"/>
  <c r="N23" i="12"/>
  <c r="AH32" i="12"/>
  <c r="Z26" i="12"/>
  <c r="Z31" i="12" s="1"/>
  <c r="T26" i="12"/>
  <c r="T31" i="12" s="1"/>
  <c r="AK32" i="12"/>
  <c r="AE32" i="12"/>
  <c r="BL13" i="17" l="1"/>
  <c r="BK43" i="17"/>
  <c r="CC45" i="17"/>
  <c r="E27" i="11"/>
  <c r="E28" i="11" s="1"/>
  <c r="CD13" i="17"/>
  <c r="CD43" i="17" s="1"/>
  <c r="AO26" i="12"/>
  <c r="AC31" i="12"/>
  <c r="BT33" i="17"/>
  <c r="BU10" i="17"/>
  <c r="AC32" i="12"/>
  <c r="AO32" i="12" s="1"/>
  <c r="BJ11" i="17"/>
  <c r="S32" i="12"/>
  <c r="T32" i="12"/>
  <c r="AB25" i="12"/>
  <c r="P26" i="12"/>
  <c r="P32" i="12" s="1"/>
  <c r="AB32" i="12" s="1"/>
  <c r="BI12" i="17"/>
  <c r="Q32" i="12"/>
  <c r="BU12" i="17"/>
  <c r="CI6" i="12"/>
  <c r="CI15" i="12" s="1"/>
  <c r="N25" i="12"/>
  <c r="B26" i="12"/>
  <c r="BK33" i="17"/>
  <c r="BL10" i="17"/>
  <c r="AS34" i="17"/>
  <c r="AS49" i="17" s="1"/>
  <c r="AT8" i="17"/>
  <c r="AR49" i="17"/>
  <c r="U32" i="12"/>
  <c r="AA32" i="12"/>
  <c r="V32" i="12"/>
  <c r="I22" i="11"/>
  <c r="X32" i="12"/>
  <c r="BK7" i="17"/>
  <c r="BJ32" i="17"/>
  <c r="AU29" i="12"/>
  <c r="BV6" i="12"/>
  <c r="BU15" i="12"/>
  <c r="CF28" i="17"/>
  <c r="CF31" i="17"/>
  <c r="BU20" i="12"/>
  <c r="Z32" i="12"/>
  <c r="AV32" i="17"/>
  <c r="AW7" i="17"/>
  <c r="R32" i="12"/>
  <c r="L74" i="11"/>
  <c r="H23" i="11"/>
  <c r="AT29" i="12"/>
  <c r="F39" i="11"/>
  <c r="AW6" i="12"/>
  <c r="AV15" i="12"/>
  <c r="AV16" i="12" s="1"/>
  <c r="Y32" i="12"/>
  <c r="E23" i="11"/>
  <c r="W32" i="12"/>
  <c r="BS29" i="12"/>
  <c r="AU37" i="17"/>
  <c r="AV9" i="17"/>
  <c r="I46" i="11"/>
  <c r="BT29" i="12"/>
  <c r="BL43" i="17" l="1"/>
  <c r="BM13" i="17"/>
  <c r="H39" i="11"/>
  <c r="AW32" i="17"/>
  <c r="AX7" i="17"/>
  <c r="E55" i="11"/>
  <c r="E62" i="11" s="1"/>
  <c r="BV12" i="17"/>
  <c r="AX6" i="12"/>
  <c r="AW15" i="12"/>
  <c r="AW16" i="12" s="1"/>
  <c r="G23" i="11"/>
  <c r="B31" i="12"/>
  <c r="B32" i="12" s="1"/>
  <c r="N26" i="12"/>
  <c r="N31" i="12" s="1"/>
  <c r="BJ12" i="17"/>
  <c r="BL7" i="17"/>
  <c r="BK32" i="17"/>
  <c r="BV20" i="12"/>
  <c r="BU16" i="12"/>
  <c r="AT34" i="17"/>
  <c r="AU8" i="17"/>
  <c r="AO31" i="12"/>
  <c r="J46" i="11"/>
  <c r="CH16" i="12"/>
  <c r="CJ6" i="12"/>
  <c r="CJ15" i="12" s="1"/>
  <c r="CI16" i="12"/>
  <c r="I23" i="11"/>
  <c r="CG28" i="17"/>
  <c r="CG31" i="17"/>
  <c r="AW9" i="17"/>
  <c r="AV37" i="17"/>
  <c r="BK11" i="17"/>
  <c r="BW6" i="12"/>
  <c r="BV15" i="12"/>
  <c r="BV16" i="12" s="1"/>
  <c r="M74" i="11"/>
  <c r="BU33" i="17"/>
  <c r="BV10" i="17"/>
  <c r="BL33" i="17"/>
  <c r="BM10" i="17"/>
  <c r="P31" i="12"/>
  <c r="AB26" i="12"/>
  <c r="AV29" i="12"/>
  <c r="F27" i="11"/>
  <c r="F28" i="11" s="1"/>
  <c r="CD45" i="17"/>
  <c r="CD44" i="17"/>
  <c r="F55" i="11" s="1"/>
  <c r="F62" i="11" s="1"/>
  <c r="CE13" i="17"/>
  <c r="CE43" i="17" s="1"/>
  <c r="BM43" i="17" l="1"/>
  <c r="BN13" i="17"/>
  <c r="BN43" i="17" s="1"/>
  <c r="BO43" i="17" s="1"/>
  <c r="BO13" i="17"/>
  <c r="BM33" i="17"/>
  <c r="BN10" i="17"/>
  <c r="BL11" i="17"/>
  <c r="BK12" i="17"/>
  <c r="BU29" i="12"/>
  <c r="AW29" i="12"/>
  <c r="BW12" i="17"/>
  <c r="AX32" i="17"/>
  <c r="AY7" i="17"/>
  <c r="BL32" i="17"/>
  <c r="BM7" i="17"/>
  <c r="K46" i="11"/>
  <c r="BV29" i="12"/>
  <c r="K22" i="11"/>
  <c r="AX15" i="12"/>
  <c r="AX16" i="12" s="1"/>
  <c r="AY6" i="12"/>
  <c r="BV33" i="17"/>
  <c r="BW10" i="17"/>
  <c r="AB31" i="12"/>
  <c r="CH31" i="17"/>
  <c r="CH28" i="17"/>
  <c r="N74" i="11"/>
  <c r="BW15" i="12"/>
  <c r="BX6" i="12"/>
  <c r="AX9" i="17"/>
  <c r="AW37" i="17"/>
  <c r="CK6" i="12"/>
  <c r="CK15" i="12" s="1"/>
  <c r="N32" i="12"/>
  <c r="B34" i="12"/>
  <c r="AT49" i="17"/>
  <c r="J22" i="11"/>
  <c r="I39" i="11"/>
  <c r="G27" i="11"/>
  <c r="G28" i="11" s="1"/>
  <c r="CE44" i="17"/>
  <c r="G55" i="11" s="1"/>
  <c r="G62" i="11" s="1"/>
  <c r="CF13" i="17"/>
  <c r="CF43" i="17" s="1"/>
  <c r="CE45" i="17"/>
  <c r="AV8" i="17"/>
  <c r="AU34" i="17"/>
  <c r="AU49" i="17" s="1"/>
  <c r="BW20" i="12"/>
  <c r="AW8" i="17" l="1"/>
  <c r="AV34" i="17"/>
  <c r="G39" i="11"/>
  <c r="BW16" i="12"/>
  <c r="CI28" i="17"/>
  <c r="CI31" i="17"/>
  <c r="L46" i="11"/>
  <c r="J23" i="11"/>
  <c r="CJ16" i="12"/>
  <c r="AY15" i="12"/>
  <c r="AY16" i="12" s="1"/>
  <c r="AZ6" i="12"/>
  <c r="AZ7" i="17"/>
  <c r="AY32" i="17"/>
  <c r="BN33" i="17"/>
  <c r="BO33" i="17" s="1"/>
  <c r="BO10" i="17"/>
  <c r="BM32" i="17"/>
  <c r="BN7" i="17"/>
  <c r="BX20" i="12"/>
  <c r="CL6" i="12"/>
  <c r="CL15" i="12" s="1"/>
  <c r="CK16" i="12"/>
  <c r="O74" i="11"/>
  <c r="AX29" i="12"/>
  <c r="BL12" i="17"/>
  <c r="AX37" i="17"/>
  <c r="AY9" i="17"/>
  <c r="M35" i="12"/>
  <c r="K35" i="12"/>
  <c r="L35" i="12"/>
  <c r="CF44" i="17"/>
  <c r="CG13" i="17"/>
  <c r="CG43" i="17" s="1"/>
  <c r="CF45" i="17"/>
  <c r="BX15" i="12"/>
  <c r="BX16" i="12" s="1"/>
  <c r="BY6" i="12"/>
  <c r="BW33" i="17"/>
  <c r="BX10" i="17"/>
  <c r="BX12" i="17"/>
  <c r="BM11" i="17"/>
  <c r="BP7" i="17" l="1"/>
  <c r="BN32" i="17"/>
  <c r="BO7" i="17"/>
  <c r="AW34" i="17"/>
  <c r="AW49" i="17" s="1"/>
  <c r="AX8" i="17"/>
  <c r="BY15" i="12"/>
  <c r="BY16" i="12" s="1"/>
  <c r="BZ6" i="12"/>
  <c r="H55" i="11"/>
  <c r="H62" i="11" s="1"/>
  <c r="AY37" i="17"/>
  <c r="AZ9" i="17"/>
  <c r="BX29" i="12"/>
  <c r="P74" i="11"/>
  <c r="Q74" i="11" s="1"/>
  <c r="Q72" i="11"/>
  <c r="BY20" i="12"/>
  <c r="CO39" i="17"/>
  <c r="CO38" i="17"/>
  <c r="CO9" i="17"/>
  <c r="CM6" i="12"/>
  <c r="CM15" i="12" s="1"/>
  <c r="CL16" i="12"/>
  <c r="BM12" i="17"/>
  <c r="BA7" i="17"/>
  <c r="BA32" i="17" s="1"/>
  <c r="AZ32" i="17"/>
  <c r="BB7" i="17"/>
  <c r="BW29" i="12"/>
  <c r="BX33" i="17"/>
  <c r="BY10" i="17"/>
  <c r="AV49" i="17"/>
  <c r="M22" i="11"/>
  <c r="AZ15" i="12"/>
  <c r="AZ16" i="12" s="1"/>
  <c r="BA6" i="12"/>
  <c r="BN11" i="17"/>
  <c r="K23" i="11"/>
  <c r="M46" i="11"/>
  <c r="AY29" i="12"/>
  <c r="CG44" i="17"/>
  <c r="I55" i="11" s="1"/>
  <c r="I62" i="11" s="1"/>
  <c r="I27" i="11"/>
  <c r="I28" i="11" s="1"/>
  <c r="CG45" i="17"/>
  <c r="CH13" i="17"/>
  <c r="CH43" i="17" s="1"/>
  <c r="BY12" i="17"/>
  <c r="H27" i="11"/>
  <c r="CJ28" i="17"/>
  <c r="CJ31" i="17"/>
  <c r="L22" i="11"/>
  <c r="CO32" i="17" l="1"/>
  <c r="CO7" i="17"/>
  <c r="BO32" i="17"/>
  <c r="CO41" i="17"/>
  <c r="CO11" i="17"/>
  <c r="N46" i="11"/>
  <c r="CO10" i="17"/>
  <c r="CM16" i="12"/>
  <c r="CN6" i="12"/>
  <c r="CN15" i="12" s="1"/>
  <c r="L23" i="11"/>
  <c r="BZ12" i="17"/>
  <c r="M23" i="11"/>
  <c r="N22" i="11"/>
  <c r="AX34" i="17"/>
  <c r="AX49" i="17" s="1"/>
  <c r="AY8" i="17"/>
  <c r="J39" i="11"/>
  <c r="CH44" i="17"/>
  <c r="J55" i="11" s="1"/>
  <c r="J62" i="11" s="1"/>
  <c r="CH45" i="17"/>
  <c r="CI13" i="17"/>
  <c r="CI43" i="17" s="1"/>
  <c r="J27" i="11"/>
  <c r="J28" i="11" s="1"/>
  <c r="BP11" i="17"/>
  <c r="BO11" i="17"/>
  <c r="BA15" i="12"/>
  <c r="BB6" i="12"/>
  <c r="BC6" i="12"/>
  <c r="BY33" i="17"/>
  <c r="BZ10" i="17"/>
  <c r="AZ37" i="17"/>
  <c r="BA9" i="17"/>
  <c r="BP32" i="17"/>
  <c r="BQ7" i="17"/>
  <c r="BP17" i="17"/>
  <c r="BQ17" i="17" s="1"/>
  <c r="BZ15" i="12"/>
  <c r="BZ16" i="12" s="1"/>
  <c r="CA6" i="12"/>
  <c r="K39" i="11"/>
  <c r="BB32" i="17"/>
  <c r="BY29" i="12"/>
  <c r="H28" i="11"/>
  <c r="AZ29" i="12"/>
  <c r="BN12" i="17"/>
  <c r="BO12" i="17"/>
  <c r="BZ20" i="12"/>
  <c r="CK31" i="17"/>
  <c r="CK28" i="17"/>
  <c r="M39" i="11" l="1"/>
  <c r="CI45" i="17"/>
  <c r="CI44" i="17"/>
  <c r="K27" i="11"/>
  <c r="K28" i="11" s="1"/>
  <c r="CJ13" i="17"/>
  <c r="CJ43" i="17" s="1"/>
  <c r="CA20" i="12"/>
  <c r="CB20" i="12"/>
  <c r="BD6" i="12"/>
  <c r="BC15" i="12"/>
  <c r="BZ29" i="12"/>
  <c r="BA37" i="17"/>
  <c r="BB37" i="17" s="1"/>
  <c r="BC9" i="17"/>
  <c r="BB9" i="17"/>
  <c r="O22" i="11"/>
  <c r="BZ33" i="17"/>
  <c r="CA10" i="17"/>
  <c r="BQ11" i="17"/>
  <c r="CA12" i="17"/>
  <c r="CO6" i="12"/>
  <c r="N23" i="11"/>
  <c r="BA16" i="12"/>
  <c r="BB15" i="12"/>
  <c r="BB16" i="12" s="1"/>
  <c r="CL31" i="17"/>
  <c r="CL28" i="17"/>
  <c r="CA15" i="12"/>
  <c r="CB6" i="12"/>
  <c r="O46" i="11"/>
  <c r="CO28" i="12"/>
  <c r="BQ32" i="17"/>
  <c r="BR7" i="17"/>
  <c r="AY34" i="17"/>
  <c r="AY49" i="17" s="1"/>
  <c r="AZ8" i="17"/>
  <c r="N39" i="11" l="1"/>
  <c r="CM31" i="17"/>
  <c r="CM28" i="17"/>
  <c r="K55" i="11"/>
  <c r="K62" i="11" s="1"/>
  <c r="L39" i="11"/>
  <c r="BR32" i="17"/>
  <c r="BS7" i="17"/>
  <c r="CN16" i="12"/>
  <c r="CO15" i="12"/>
  <c r="CO34" i="17"/>
  <c r="CO8" i="17"/>
  <c r="BC37" i="17"/>
  <c r="BD9" i="17"/>
  <c r="BF17" i="17"/>
  <c r="BG17" i="17" s="1"/>
  <c r="O23" i="11"/>
  <c r="CA16" i="12"/>
  <c r="CB15" i="12"/>
  <c r="BA23" i="12"/>
  <c r="AS23" i="12"/>
  <c r="AS25" i="12" s="1"/>
  <c r="AZ23" i="12"/>
  <c r="AZ25" i="12" s="1"/>
  <c r="AR23" i="12"/>
  <c r="AR25" i="12" s="1"/>
  <c r="AY23" i="12"/>
  <c r="AY25" i="12" s="1"/>
  <c r="AQ23" i="12"/>
  <c r="AQ25" i="12" s="1"/>
  <c r="AT23" i="12"/>
  <c r="AT25" i="12" s="1"/>
  <c r="AX23" i="12"/>
  <c r="AX25" i="12" s="1"/>
  <c r="AW23" i="12"/>
  <c r="AW25" i="12" s="1"/>
  <c r="AV23" i="12"/>
  <c r="AV25" i="12" s="1"/>
  <c r="AU23" i="12"/>
  <c r="AU25" i="12" s="1"/>
  <c r="AP23" i="12"/>
  <c r="BC16" i="12"/>
  <c r="CJ45" i="17"/>
  <c r="CJ44" i="17"/>
  <c r="L55" i="11" s="1"/>
  <c r="L62" i="11" s="1"/>
  <c r="L27" i="11"/>
  <c r="L28" i="11" s="1"/>
  <c r="CK13" i="17"/>
  <c r="CK43" i="17" s="1"/>
  <c r="BR11" i="17"/>
  <c r="AZ34" i="17"/>
  <c r="AZ49" i="17" s="1"/>
  <c r="BA8" i="17"/>
  <c r="P46" i="11"/>
  <c r="BA24" i="12"/>
  <c r="BA29" i="12"/>
  <c r="BB29" i="12" s="1"/>
  <c r="CB12" i="17"/>
  <c r="CB10" i="17"/>
  <c r="CA33" i="17"/>
  <c r="CB33" i="17" s="1"/>
  <c r="BE6" i="12"/>
  <c r="BD15" i="12"/>
  <c r="BD16" i="12" s="1"/>
  <c r="BA25" i="12" l="1"/>
  <c r="BA26" i="12" s="1"/>
  <c r="BA31" i="12" s="1"/>
  <c r="BD29" i="12"/>
  <c r="AW26" i="12"/>
  <c r="AW31" i="12" s="1"/>
  <c r="CK45" i="17"/>
  <c r="M27" i="11"/>
  <c r="M28" i="11" s="1"/>
  <c r="CK44" i="17"/>
  <c r="M55" i="11" s="1"/>
  <c r="M62" i="11" s="1"/>
  <c r="CL13" i="17"/>
  <c r="CL43" i="17" s="1"/>
  <c r="AU26" i="12"/>
  <c r="AU31" i="12" s="1"/>
  <c r="AZ26" i="12"/>
  <c r="AZ31" i="12" s="1"/>
  <c r="BA34" i="17"/>
  <c r="BC8" i="17"/>
  <c r="BB8" i="17"/>
  <c r="BF6" i="12"/>
  <c r="BE15" i="12"/>
  <c r="BE16" i="12" s="1"/>
  <c r="BB24" i="12"/>
  <c r="BC29" i="12"/>
  <c r="AQ26" i="12"/>
  <c r="AQ31" i="12" s="1"/>
  <c r="BD37" i="17"/>
  <c r="BE9" i="17"/>
  <c r="CO35" i="17"/>
  <c r="CO18" i="12"/>
  <c r="AV26" i="12"/>
  <c r="AV31" i="12" s="1"/>
  <c r="AT26" i="12"/>
  <c r="AT31" i="12" s="1"/>
  <c r="AY26" i="12"/>
  <c r="AY31" i="12" s="1"/>
  <c r="BS32" i="17"/>
  <c r="BT7" i="17"/>
  <c r="Q26" i="11"/>
  <c r="CO19" i="12"/>
  <c r="AS26" i="12"/>
  <c r="AS31" i="12" s="1"/>
  <c r="BA32" i="12"/>
  <c r="AX26" i="12"/>
  <c r="AX31" i="12" s="1"/>
  <c r="CO29" i="12"/>
  <c r="P22" i="11"/>
  <c r="CO16" i="12"/>
  <c r="BS11" i="17"/>
  <c r="CA24" i="12"/>
  <c r="CB24" i="12" s="1"/>
  <c r="CA29" i="12"/>
  <c r="CB29" i="12" s="1"/>
  <c r="CB16" i="12"/>
  <c r="BJ17" i="17"/>
  <c r="BJ18" i="17"/>
  <c r="Q43" i="11"/>
  <c r="AP25" i="12"/>
  <c r="BB23" i="12"/>
  <c r="AR26" i="12"/>
  <c r="AR31" i="12" s="1"/>
  <c r="CO36" i="17"/>
  <c r="CN28" i="17"/>
  <c r="CN31" i="17"/>
  <c r="CO20" i="17"/>
  <c r="CO28" i="17" s="1"/>
  <c r="CO33" i="17"/>
  <c r="AT32" i="12" l="1"/>
  <c r="AZ32" i="12"/>
  <c r="AR32" i="12"/>
  <c r="AQ32" i="12"/>
  <c r="CO20" i="12"/>
  <c r="CO31" i="17"/>
  <c r="AU32" i="12"/>
  <c r="BY23" i="12"/>
  <c r="BY25" i="12" s="1"/>
  <c r="BQ23" i="12"/>
  <c r="BQ25" i="12" s="1"/>
  <c r="BX23" i="12"/>
  <c r="BX25" i="12" s="1"/>
  <c r="BP23" i="12"/>
  <c r="BW23" i="12"/>
  <c r="BW25" i="12" s="1"/>
  <c r="BZ23" i="12"/>
  <c r="BZ25" i="12" s="1"/>
  <c r="BR23" i="12"/>
  <c r="BR25" i="12" s="1"/>
  <c r="BS23" i="12"/>
  <c r="BS25" i="12" s="1"/>
  <c r="BT23" i="12"/>
  <c r="BT25" i="12" s="1"/>
  <c r="BV23" i="12"/>
  <c r="BV25" i="12" s="1"/>
  <c r="BU23" i="12"/>
  <c r="BU25" i="12" s="1"/>
  <c r="BE29" i="12"/>
  <c r="BC34" i="17"/>
  <c r="BP8" i="17"/>
  <c r="BD8" i="17"/>
  <c r="BF15" i="12"/>
  <c r="BG6" i="12"/>
  <c r="AX32" i="12"/>
  <c r="AS32" i="12"/>
  <c r="AY32" i="12"/>
  <c r="Q22" i="11"/>
  <c r="AW32" i="12"/>
  <c r="O39" i="11"/>
  <c r="BB25" i="12"/>
  <c r="CC49" i="17"/>
  <c r="BT11" i="17"/>
  <c r="BB34" i="17"/>
  <c r="BB49" i="17" s="1"/>
  <c r="BA49" i="17"/>
  <c r="CD49" i="17"/>
  <c r="F18" i="11" s="1"/>
  <c r="AP26" i="12"/>
  <c r="AP32" i="12" s="1"/>
  <c r="AV32" i="12"/>
  <c r="N27" i="11"/>
  <c r="N28" i="11" s="1"/>
  <c r="CL45" i="17"/>
  <c r="CL44" i="17"/>
  <c r="N55" i="11" s="1"/>
  <c r="N62" i="11" s="1"/>
  <c r="CM13" i="17"/>
  <c r="CM43" i="17" s="1"/>
  <c r="CO37" i="17"/>
  <c r="CO24" i="12"/>
  <c r="Q30" i="11"/>
  <c r="BT32" i="17"/>
  <c r="BU7" i="17"/>
  <c r="Q25" i="11"/>
  <c r="BE37" i="17"/>
  <c r="BF9" i="17"/>
  <c r="BB32" i="12" l="1"/>
  <c r="P23" i="11"/>
  <c r="BC49" i="17"/>
  <c r="O27" i="11"/>
  <c r="O28" i="11" s="1"/>
  <c r="CM45" i="17"/>
  <c r="CN13" i="17"/>
  <c r="CN43" i="17" s="1"/>
  <c r="CM44" i="17"/>
  <c r="O55" i="11" s="1"/>
  <c r="O62" i="11" s="1"/>
  <c r="BZ26" i="12"/>
  <c r="BZ31" i="12" s="1"/>
  <c r="BU11" i="17"/>
  <c r="BW26" i="12"/>
  <c r="BW31" i="12" s="1"/>
  <c r="J53" i="11"/>
  <c r="J64" i="11" s="1"/>
  <c r="CK25" i="12"/>
  <c r="CM25" i="12"/>
  <c r="O31" i="11"/>
  <c r="BP25" i="12"/>
  <c r="CI25" i="12"/>
  <c r="BR26" i="12"/>
  <c r="BR31" i="12" s="1"/>
  <c r="BF37" i="17"/>
  <c r="BG9" i="17"/>
  <c r="CL25" i="12"/>
  <c r="N31" i="11"/>
  <c r="CF25" i="12"/>
  <c r="H31" i="11"/>
  <c r="BD34" i="17"/>
  <c r="BD49" i="17" s="1"/>
  <c r="BE8" i="17"/>
  <c r="BU26" i="12"/>
  <c r="BU31" i="12" s="1"/>
  <c r="BX26" i="12"/>
  <c r="BX31" i="12" s="1"/>
  <c r="CD25" i="12"/>
  <c r="BU32" i="17"/>
  <c r="BV7" i="17"/>
  <c r="CE25" i="12"/>
  <c r="CJ25" i="12"/>
  <c r="L31" i="11"/>
  <c r="CN25" i="12"/>
  <c r="P31" i="11"/>
  <c r="BG15" i="12"/>
  <c r="BG16" i="12" s="1"/>
  <c r="BH6" i="12"/>
  <c r="BQ8" i="17"/>
  <c r="BP34" i="17"/>
  <c r="BV26" i="12"/>
  <c r="BV31" i="12" s="1"/>
  <c r="BQ26" i="12"/>
  <c r="BQ31" i="12" s="1"/>
  <c r="CC50" i="17"/>
  <c r="BS26" i="12"/>
  <c r="BS31" i="12" s="1"/>
  <c r="AP31" i="12"/>
  <c r="BB26" i="12"/>
  <c r="CH25" i="12"/>
  <c r="CO23" i="12"/>
  <c r="CC25" i="12"/>
  <c r="E31" i="11"/>
  <c r="CG25" i="12"/>
  <c r="I31" i="11"/>
  <c r="BF16" i="12"/>
  <c r="BT26" i="12"/>
  <c r="BT31" i="12" s="1"/>
  <c r="BY26" i="12"/>
  <c r="BY31" i="12" s="1"/>
  <c r="G53" i="11" l="1"/>
  <c r="G64" i="11" s="1"/>
  <c r="BU32" i="12"/>
  <c r="BV32" i="12"/>
  <c r="I53" i="11"/>
  <c r="I64" i="11" s="1"/>
  <c r="Q23" i="11"/>
  <c r="K53" i="11"/>
  <c r="K64" i="11" s="1"/>
  <c r="H53" i="11"/>
  <c r="H64" i="11" s="1"/>
  <c r="L53" i="11"/>
  <c r="L64" i="11" s="1"/>
  <c r="O53" i="11"/>
  <c r="O64" i="11" s="1"/>
  <c r="BY32" i="12"/>
  <c r="G31" i="11"/>
  <c r="M53" i="11"/>
  <c r="M64" i="11" s="1"/>
  <c r="F53" i="11"/>
  <c r="F64" i="11" s="1"/>
  <c r="CH26" i="12"/>
  <c r="CH31" i="12" s="1"/>
  <c r="J32" i="11" s="1"/>
  <c r="F31" i="11"/>
  <c r="CF26" i="12"/>
  <c r="CF31" i="12" s="1"/>
  <c r="H32" i="11" s="1"/>
  <c r="N53" i="11"/>
  <c r="N64" i="11" s="1"/>
  <c r="CI26" i="12"/>
  <c r="CI31" i="12" s="1"/>
  <c r="K32" i="11" s="1"/>
  <c r="CN26" i="12"/>
  <c r="CN31" i="12" s="1"/>
  <c r="P32" i="11" s="1"/>
  <c r="CG26" i="12"/>
  <c r="CG31" i="12" s="1"/>
  <c r="I32" i="11" s="1"/>
  <c r="P39" i="11"/>
  <c r="Q38" i="11"/>
  <c r="BP26" i="12"/>
  <c r="CN44" i="17"/>
  <c r="CN45" i="17"/>
  <c r="CO13" i="17"/>
  <c r="CE26" i="12"/>
  <c r="CE31" i="12" s="1"/>
  <c r="G32" i="11" s="1"/>
  <c r="BQ34" i="17"/>
  <c r="BR8" i="17"/>
  <c r="BG37" i="17"/>
  <c r="BH9" i="17"/>
  <c r="M31" i="11"/>
  <c r="BF29" i="12"/>
  <c r="E18" i="11"/>
  <c r="BH15" i="12"/>
  <c r="BH16" i="12" s="1"/>
  <c r="BI6" i="12"/>
  <c r="BW7" i="17"/>
  <c r="BV32" i="17"/>
  <c r="CL26" i="12"/>
  <c r="CL31" i="12" s="1"/>
  <c r="N32" i="11" s="1"/>
  <c r="CF49" i="17"/>
  <c r="H18" i="11" s="1"/>
  <c r="BG29" i="12"/>
  <c r="CO25" i="12"/>
  <c r="CC26" i="12"/>
  <c r="BR32" i="12"/>
  <c r="BV11" i="17"/>
  <c r="CK26" i="12"/>
  <c r="CK31" i="12" s="1"/>
  <c r="M32" i="11" s="1"/>
  <c r="CD26" i="12"/>
  <c r="CD31" i="12" s="1"/>
  <c r="F32" i="11" s="1"/>
  <c r="BB31" i="12"/>
  <c r="BZ32" i="12"/>
  <c r="CJ26" i="12"/>
  <c r="CJ31" i="12" s="1"/>
  <c r="L32" i="11" s="1"/>
  <c r="CE49" i="17"/>
  <c r="G18" i="11" s="1"/>
  <c r="BT32" i="12"/>
  <c r="BX32" i="12"/>
  <c r="CM26" i="12"/>
  <c r="CM31" i="12" s="1"/>
  <c r="O32" i="11" s="1"/>
  <c r="J31" i="11"/>
  <c r="BS32" i="12"/>
  <c r="BQ32" i="12"/>
  <c r="BE34" i="17"/>
  <c r="BF8" i="17"/>
  <c r="P53" i="11"/>
  <c r="K31" i="11"/>
  <c r="BW32" i="12"/>
  <c r="CG32" i="12" l="1"/>
  <c r="CH32" i="12"/>
  <c r="G34" i="11"/>
  <c r="G35" i="11" s="1"/>
  <c r="G40" i="11" s="1"/>
  <c r="H34" i="11"/>
  <c r="H35" i="11" s="1"/>
  <c r="H40" i="11" s="1"/>
  <c r="L34" i="11"/>
  <c r="L35" i="11" s="1"/>
  <c r="O34" i="11"/>
  <c r="O35" i="11" s="1"/>
  <c r="F34" i="11"/>
  <c r="F35" i="11" s="1"/>
  <c r="F40" i="11" s="1"/>
  <c r="CF32" i="12"/>
  <c r="BE49" i="17"/>
  <c r="CJ32" i="12"/>
  <c r="CO43" i="17"/>
  <c r="P27" i="11"/>
  <c r="BH29" i="12"/>
  <c r="CN32" i="12"/>
  <c r="BG8" i="17"/>
  <c r="BF34" i="17"/>
  <c r="BF49" i="17" s="1"/>
  <c r="BR34" i="17"/>
  <c r="BS8" i="17"/>
  <c r="CO45" i="17"/>
  <c r="BH37" i="17"/>
  <c r="BI9" i="17"/>
  <c r="BP31" i="12"/>
  <c r="K34" i="11"/>
  <c r="K35" i="11" s="1"/>
  <c r="P34" i="11"/>
  <c r="CM32" i="12"/>
  <c r="M34" i="11"/>
  <c r="M35" i="11" s="1"/>
  <c r="Q39" i="11"/>
  <c r="CI32" i="12"/>
  <c r="Q29" i="11"/>
  <c r="Q31" i="11"/>
  <c r="CG49" i="17"/>
  <c r="I18" i="11" s="1"/>
  <c r="BX7" i="17"/>
  <c r="BW32" i="17"/>
  <c r="CE32" i="12"/>
  <c r="CD32" i="12"/>
  <c r="CC31" i="12"/>
  <c r="E32" i="11" s="1"/>
  <c r="CO26" i="12"/>
  <c r="BI15" i="12"/>
  <c r="BI16" i="12" s="1"/>
  <c r="BJ6" i="12"/>
  <c r="CO44" i="17"/>
  <c r="P55" i="11"/>
  <c r="P62" i="11" s="1"/>
  <c r="P64" i="11" s="1"/>
  <c r="BW11" i="17"/>
  <c r="N34" i="11"/>
  <c r="N35" i="11" s="1"/>
  <c r="CK32" i="12"/>
  <c r="CL32" i="12"/>
  <c r="BP32" i="12"/>
  <c r="I34" i="11"/>
  <c r="I35" i="11" s="1"/>
  <c r="J34" i="11"/>
  <c r="J35" i="11" s="1"/>
  <c r="G77" i="11" l="1"/>
  <c r="H77" i="11"/>
  <c r="F77" i="11"/>
  <c r="E9" i="6" s="1"/>
  <c r="E11" i="6" s="1"/>
  <c r="E12" i="6" s="1"/>
  <c r="E53" i="11"/>
  <c r="E64" i="11" s="1"/>
  <c r="Q51" i="11"/>
  <c r="CH49" i="17"/>
  <c r="J18" i="11" s="1"/>
  <c r="BG34" i="17"/>
  <c r="BG49" i="17" s="1"/>
  <c r="BH8" i="17"/>
  <c r="BJ15" i="12"/>
  <c r="BJ16" i="12" s="1"/>
  <c r="BK6" i="12"/>
  <c r="BX11" i="17"/>
  <c r="Q27" i="11"/>
  <c r="P28" i="11"/>
  <c r="Q46" i="11"/>
  <c r="BS34" i="17"/>
  <c r="BT8" i="17"/>
  <c r="BI29" i="12"/>
  <c r="BI37" i="17"/>
  <c r="BJ9" i="17"/>
  <c r="CO31" i="12"/>
  <c r="CC32" i="12"/>
  <c r="CO32" i="12" s="1"/>
  <c r="I40" i="11"/>
  <c r="I77" i="11" s="1"/>
  <c r="H9" i="6" s="1"/>
  <c r="H11" i="6" s="1"/>
  <c r="BY7" i="17"/>
  <c r="BX32" i="17"/>
  <c r="Q55" i="11"/>
  <c r="T9" i="6" l="1"/>
  <c r="T11" i="6" s="1"/>
  <c r="G9" i="6"/>
  <c r="G11" i="6" s="1"/>
  <c r="G12" i="6" s="1"/>
  <c r="S9" i="6"/>
  <c r="S11" i="6" s="1"/>
  <c r="F9" i="6"/>
  <c r="F11" i="6" s="1"/>
  <c r="R9" i="6"/>
  <c r="R11" i="6" s="1"/>
  <c r="R12" i="6" s="1"/>
  <c r="BY32" i="17"/>
  <c r="BZ7" i="17"/>
  <c r="BJ37" i="17"/>
  <c r="BK9" i="17"/>
  <c r="BK15" i="12"/>
  <c r="BK16" i="12" s="1"/>
  <c r="BL6" i="12"/>
  <c r="Q53" i="11"/>
  <c r="Q32" i="11"/>
  <c r="J40" i="11"/>
  <c r="J77" i="11" s="1"/>
  <c r="I9" i="6" s="1"/>
  <c r="I11" i="6" s="1"/>
  <c r="I12" i="6" s="1"/>
  <c r="BJ29" i="12"/>
  <c r="CI49" i="17"/>
  <c r="K18" i="11" s="1"/>
  <c r="K40" i="11" s="1"/>
  <c r="K77" i="11" s="1"/>
  <c r="J9" i="6" s="1"/>
  <c r="J11" i="6" s="1"/>
  <c r="Q62" i="11"/>
  <c r="BY11" i="17"/>
  <c r="Q28" i="11"/>
  <c r="P35" i="11"/>
  <c r="U9" i="6"/>
  <c r="U11" i="6" s="1"/>
  <c r="BH34" i="17"/>
  <c r="BH49" i="17" s="1"/>
  <c r="BI8" i="17"/>
  <c r="BT34" i="17"/>
  <c r="BU8" i="17"/>
  <c r="T12" i="6" l="1"/>
  <c r="E34" i="11"/>
  <c r="Q34" i="11" s="1"/>
  <c r="CJ49" i="17"/>
  <c r="L18" i="11" s="1"/>
  <c r="L40" i="11" s="1"/>
  <c r="L77" i="11" s="1"/>
  <c r="K9" i="6" s="1"/>
  <c r="K11" i="6" s="1"/>
  <c r="K12" i="6" s="1"/>
  <c r="BK29" i="12"/>
  <c r="BZ11" i="17"/>
  <c r="Q64" i="11"/>
  <c r="BZ32" i="17"/>
  <c r="CA7" i="17"/>
  <c r="V9" i="6"/>
  <c r="V11" i="6" s="1"/>
  <c r="V12" i="6" s="1"/>
  <c r="BU34" i="17"/>
  <c r="BV8" i="17"/>
  <c r="BK37" i="17"/>
  <c r="BL9" i="17"/>
  <c r="W9" i="6"/>
  <c r="W11" i="6" s="1"/>
  <c r="BM6" i="12"/>
  <c r="BL15" i="12"/>
  <c r="BL16" i="12" s="1"/>
  <c r="BI34" i="17"/>
  <c r="BI49" i="17" s="1"/>
  <c r="BJ8" i="17"/>
  <c r="E35" i="11" l="1"/>
  <c r="Q35" i="11" s="1"/>
  <c r="BW8" i="17"/>
  <c r="BV34" i="17"/>
  <c r="X9" i="6"/>
  <c r="X11" i="6" s="1"/>
  <c r="X12" i="6" s="1"/>
  <c r="BL29" i="12"/>
  <c r="CA32" i="17"/>
  <c r="CB7" i="17"/>
  <c r="BL37" i="17"/>
  <c r="BM9" i="17"/>
  <c r="BJ34" i="17"/>
  <c r="BJ49" i="17" s="1"/>
  <c r="BK8" i="17"/>
  <c r="BN6" i="12"/>
  <c r="BM15" i="12"/>
  <c r="BM16" i="12" s="1"/>
  <c r="CA11" i="17"/>
  <c r="CK49" i="17"/>
  <c r="M18" i="11" s="1"/>
  <c r="M40" i="11" s="1"/>
  <c r="M77" i="11" s="1"/>
  <c r="Y9" i="6" l="1"/>
  <c r="Y11" i="6" s="1"/>
  <c r="L9" i="6"/>
  <c r="L11" i="6" s="1"/>
  <c r="E40" i="11"/>
  <c r="E77" i="11" s="1"/>
  <c r="D9" i="6" s="1"/>
  <c r="D11" i="6" s="1"/>
  <c r="D12" i="6" s="1"/>
  <c r="F12" i="6" s="1"/>
  <c r="H12" i="6" s="1"/>
  <c r="J12" i="6" s="1"/>
  <c r="BM29" i="12"/>
  <c r="BN15" i="12"/>
  <c r="BO6" i="12"/>
  <c r="CB32" i="17"/>
  <c r="BK34" i="17"/>
  <c r="BK49" i="17" s="1"/>
  <c r="BL8" i="17"/>
  <c r="BM37" i="17"/>
  <c r="BN9" i="17"/>
  <c r="CL49" i="17"/>
  <c r="N18" i="11" s="1"/>
  <c r="N40" i="11" s="1"/>
  <c r="N77" i="11" s="1"/>
  <c r="CB11" i="17"/>
  <c r="BW34" i="17"/>
  <c r="BX8" i="17"/>
  <c r="L12" i="6" l="1"/>
  <c r="Z9" i="6"/>
  <c r="Z11" i="6" s="1"/>
  <c r="Z12" i="6" s="1"/>
  <c r="M9" i="6"/>
  <c r="M11" i="6" s="1"/>
  <c r="M12" i="6" s="1"/>
  <c r="Q9" i="6"/>
  <c r="Q11" i="6" s="1"/>
  <c r="BN16" i="12"/>
  <c r="BO15" i="12"/>
  <c r="BO16" i="12" s="1"/>
  <c r="CM49" i="17"/>
  <c r="O18" i="11" s="1"/>
  <c r="O40" i="11" s="1"/>
  <c r="O77" i="11" s="1"/>
  <c r="N9" i="6" s="1"/>
  <c r="N11" i="6" s="1"/>
  <c r="N12" i="6" s="1"/>
  <c r="BM8" i="17"/>
  <c r="BL34" i="17"/>
  <c r="BL49" i="17" s="1"/>
  <c r="BX34" i="17"/>
  <c r="BY8" i="17"/>
  <c r="BN37" i="17"/>
  <c r="BO37" i="17" s="1"/>
  <c r="BP9" i="17"/>
  <c r="BO9" i="17"/>
  <c r="BP37" i="17" l="1"/>
  <c r="BS17" i="17"/>
  <c r="BT17" i="17" s="1"/>
  <c r="BQ9" i="17"/>
  <c r="BN29" i="12"/>
  <c r="BO29" i="12" s="1"/>
  <c r="BN24" i="12"/>
  <c r="AA9" i="6"/>
  <c r="AA11" i="6" s="1"/>
  <c r="BI23" i="12"/>
  <c r="BI25" i="12" s="1"/>
  <c r="BH23" i="12"/>
  <c r="BH25" i="12" s="1"/>
  <c r="BG23" i="12"/>
  <c r="BG25" i="12" s="1"/>
  <c r="BJ23" i="12"/>
  <c r="BJ25" i="12" s="1"/>
  <c r="BC23" i="12"/>
  <c r="BN23" i="12"/>
  <c r="BM23" i="12"/>
  <c r="BM25" i="12" s="1"/>
  <c r="BD23" i="12"/>
  <c r="BD25" i="12" s="1"/>
  <c r="BF23" i="12"/>
  <c r="BF25" i="12" s="1"/>
  <c r="BE23" i="12"/>
  <c r="BE25" i="12" s="1"/>
  <c r="CA23" i="12"/>
  <c r="BL23" i="12"/>
  <c r="BL25" i="12" s="1"/>
  <c r="BK23" i="12"/>
  <c r="BK25" i="12" s="1"/>
  <c r="CO12" i="17"/>
  <c r="BM34" i="17"/>
  <c r="BM49" i="17" s="1"/>
  <c r="BN8" i="17"/>
  <c r="BY34" i="17"/>
  <c r="BZ8" i="17"/>
  <c r="BN25" i="12" l="1"/>
  <c r="BD26" i="12"/>
  <c r="BD31" i="12" s="1"/>
  <c r="BO23" i="12"/>
  <c r="BC25" i="12"/>
  <c r="BN34" i="17"/>
  <c r="BO8" i="17"/>
  <c r="BJ26" i="12"/>
  <c r="BJ31" i="12" s="1"/>
  <c r="CA25" i="12"/>
  <c r="CB23" i="12"/>
  <c r="BG26" i="12"/>
  <c r="BG31" i="12" s="1"/>
  <c r="BM26" i="12"/>
  <c r="BM31" i="12" s="1"/>
  <c r="BQ37" i="17"/>
  <c r="BQ49" i="17" s="1"/>
  <c r="BR9" i="17"/>
  <c r="BW18" i="17"/>
  <c r="BW17" i="17"/>
  <c r="BK26" i="12"/>
  <c r="BK31" i="12" s="1"/>
  <c r="BE26" i="12"/>
  <c r="BE31" i="12" s="1"/>
  <c r="BH26" i="12"/>
  <c r="BH31" i="12" s="1"/>
  <c r="BO24" i="12"/>
  <c r="BZ34" i="17"/>
  <c r="CA8" i="17"/>
  <c r="BL26" i="12"/>
  <c r="BL31" i="12" s="1"/>
  <c r="BP49" i="17"/>
  <c r="CN49" i="17"/>
  <c r="CO42" i="17"/>
  <c r="CO49" i="17" s="1"/>
  <c r="BF26" i="12"/>
  <c r="BF31" i="12" s="1"/>
  <c r="BI26" i="12"/>
  <c r="BI31" i="12" s="1"/>
  <c r="BN26" i="12"/>
  <c r="BN31" i="12" s="1"/>
  <c r="BJ32" i="12" l="1"/>
  <c r="BI32" i="12"/>
  <c r="BL32" i="12"/>
  <c r="BK32" i="12"/>
  <c r="BN49" i="17"/>
  <c r="BO34" i="17"/>
  <c r="BO49" i="17" s="1"/>
  <c r="BN32" i="12"/>
  <c r="BG32" i="12"/>
  <c r="BC26" i="12"/>
  <c r="BC32" i="12" s="1"/>
  <c r="BF32" i="12"/>
  <c r="BD32" i="12"/>
  <c r="BH32" i="12"/>
  <c r="CA34" i="17"/>
  <c r="CB8" i="17"/>
  <c r="BE32" i="12"/>
  <c r="BO25" i="12"/>
  <c r="BR37" i="17"/>
  <c r="BR49" i="17" s="1"/>
  <c r="BS9" i="17"/>
  <c r="P18" i="11"/>
  <c r="Q13" i="11"/>
  <c r="BM32" i="12"/>
  <c r="CA26" i="12"/>
  <c r="CA32" i="12" s="1"/>
  <c r="CB32" i="12" s="1"/>
  <c r="CB25" i="12"/>
  <c r="BS37" i="17" l="1"/>
  <c r="BS49" i="17" s="1"/>
  <c r="BT9" i="17"/>
  <c r="BO26" i="12"/>
  <c r="BC31" i="12"/>
  <c r="BO32" i="12"/>
  <c r="BO34" i="12" s="1"/>
  <c r="BO36" i="12" s="1"/>
  <c r="CB34" i="17"/>
  <c r="Q18" i="11"/>
  <c r="P40" i="11"/>
  <c r="P77" i="11" s="1"/>
  <c r="O9" i="6" s="1"/>
  <c r="O11" i="6" s="1"/>
  <c r="O12" i="6" s="1"/>
  <c r="Q12" i="6" s="1"/>
  <c r="S12" i="6" s="1"/>
  <c r="U12" i="6" s="1"/>
  <c r="W12" i="6" s="1"/>
  <c r="Y12" i="6" s="1"/>
  <c r="AA12" i="6" s="1"/>
  <c r="CA31" i="12"/>
  <c r="CB26" i="12"/>
  <c r="AB9" i="6" l="1"/>
  <c r="AB11" i="6" s="1"/>
  <c r="AB12" i="6" s="1"/>
  <c r="Q77" i="11"/>
  <c r="BT37" i="17"/>
  <c r="BU9" i="17"/>
  <c r="CB31" i="12"/>
  <c r="BO31" i="12"/>
  <c r="Q40" i="11"/>
  <c r="BV9" i="17" l="1"/>
  <c r="BU37" i="17"/>
  <c r="BU49" i="17" s="1"/>
  <c r="BT49" i="17"/>
  <c r="BV37" i="17" l="1"/>
  <c r="BV49" i="17" s="1"/>
  <c r="BW9" i="17"/>
  <c r="BW37" i="17" l="1"/>
  <c r="BW49" i="17" s="1"/>
  <c r="BX9" i="17"/>
  <c r="BX37" i="17" l="1"/>
  <c r="BX49" i="17" s="1"/>
  <c r="BY9" i="17"/>
  <c r="BY37" i="17" l="1"/>
  <c r="BY49" i="17" s="1"/>
  <c r="BZ9" i="17"/>
  <c r="BZ37" i="17" l="1"/>
  <c r="BZ49" i="17" s="1"/>
  <c r="CA9" i="17"/>
  <c r="CA37" i="17" l="1"/>
  <c r="CB9" i="17"/>
  <c r="CA49" i="17" l="1"/>
  <c r="CB37" i="17"/>
  <c r="CB49" i="17" s="1"/>
  <c r="U3" i="9" l="1"/>
  <c r="G3" i="9"/>
  <c r="F3" i="9" l="1"/>
  <c r="G4" i="9" l="1"/>
  <c r="U4" i="9"/>
  <c r="M22" i="9"/>
  <c r="U22" i="9" l="1"/>
  <c r="P4" i="6" s="1"/>
  <c r="F4" i="9"/>
  <c r="F22" i="9" s="1"/>
  <c r="G2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1" authorId="0" shapeId="0" xr:uid="{39702BA5-F940-7B4C-A99C-F8C56102178D}">
      <text>
        <r>
          <rPr>
            <b/>
            <sz val="10"/>
            <color rgb="FF000000"/>
            <rFont val="Tahoma"/>
            <family val="2"/>
          </rPr>
          <t>Microsoft Office User:</t>
        </r>
        <r>
          <rPr>
            <sz val="10"/>
            <color rgb="FF000000"/>
            <rFont val="Tahoma"/>
            <family val="2"/>
          </rPr>
          <t xml:space="preserve">
</t>
        </r>
        <r>
          <rPr>
            <sz val="10"/>
            <color rgb="FF000000"/>
            <rFont val="Tahoma"/>
            <family val="2"/>
          </rPr>
          <t>Como referencia de los ciclos de cuando se recibe el flujo de la facturación</t>
        </r>
      </text>
    </comment>
    <comment ref="B12" authorId="1" shapeId="0" xr:uid="{CE2840E0-C379-C845-8EE7-8423FFE3558C}">
      <text>
        <r>
          <rPr>
            <sz val="10"/>
            <rFont val="Arial"/>
          </rPr>
          <t xml:space="preserve">Me van a enviar una carta de cancelación administrativa del proyecto. Ya no se va a continuar. El cliente cancelo el proyecto.
</t>
        </r>
      </text>
    </comment>
    <comment ref="B13" authorId="1" shapeId="0" xr:uid="{BAD080E0-3118-5D40-9084-CD2455892A2E}">
      <text>
        <r>
          <rPr>
            <sz val="10"/>
            <rFont val="Arial"/>
          </rPr>
          <t xml:space="preserve">Alejandra:
Estuvo detuvo. Da inicio en Nov 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1" authorId="0" shapeId="0" xr:uid="{08857A93-165F-5B42-8949-862E70989803}">
      <text>
        <r>
          <rPr>
            <b/>
            <sz val="10"/>
            <color rgb="FF000000"/>
            <rFont val="Tahoma"/>
            <family val="2"/>
          </rPr>
          <t>Microsoft Office User:</t>
        </r>
        <r>
          <rPr>
            <sz val="10"/>
            <color rgb="FF000000"/>
            <rFont val="Tahoma"/>
            <family val="2"/>
          </rPr>
          <t xml:space="preserve">
</t>
        </r>
        <r>
          <rPr>
            <sz val="10"/>
            <color rgb="FF000000"/>
            <rFont val="Tahoma"/>
            <family val="2"/>
          </rPr>
          <t>Se introduce el avance del proyecto, para saber más adelante cuanto se debe cobrar</t>
        </r>
      </text>
    </comment>
    <comment ref="D1" authorId="0" shapeId="0" xr:uid="{5DEBDDA1-B7CE-804B-BC25-22EF5B69DF15}">
      <text>
        <r>
          <rPr>
            <b/>
            <sz val="10"/>
            <color rgb="FF000000"/>
            <rFont val="Tahoma"/>
            <family val="2"/>
          </rPr>
          <t>Microsoft Office User:</t>
        </r>
        <r>
          <rPr>
            <sz val="10"/>
            <color rgb="FF000000"/>
            <rFont val="Tahoma"/>
            <family val="2"/>
          </rPr>
          <t xml:space="preserve">
</t>
        </r>
        <r>
          <rPr>
            <sz val="10"/>
            <color rgb="FF000000"/>
            <rFont val="Tahoma"/>
            <family val="2"/>
          </rPr>
          <t>DE acuerdo al presupuesto del proyecto, por el avance del proyecto se determina la cantidad a cobrar sugerida.</t>
        </r>
      </text>
    </comment>
    <comment ref="F1" authorId="0" shapeId="0" xr:uid="{86BBD44F-9371-3745-8E8A-D2DEB53A4B85}">
      <text>
        <r>
          <rPr>
            <b/>
            <sz val="10"/>
            <color rgb="FF000000"/>
            <rFont val="Tahoma"/>
            <family val="2"/>
          </rPr>
          <t>Microsoft Office User:</t>
        </r>
        <r>
          <rPr>
            <sz val="10"/>
            <color rgb="FF000000"/>
            <rFont val="Tahoma"/>
            <family val="2"/>
          </rPr>
          <t xml:space="preserve">
</t>
        </r>
        <r>
          <rPr>
            <sz val="10"/>
            <color rgb="FF000000"/>
            <rFont val="Tahoma"/>
            <family val="2"/>
          </rPr>
          <t xml:space="preserve">Se introduce el valor del proyecto.
</t>
        </r>
      </text>
    </comment>
    <comment ref="G1" authorId="0" shapeId="0" xr:uid="{66BA0B65-2974-2A45-BBB4-12F9EDC8D12B}">
      <text>
        <r>
          <rPr>
            <b/>
            <sz val="10"/>
            <color rgb="FF000000"/>
            <rFont val="Tahoma"/>
            <family val="2"/>
          </rPr>
          <t>Microsoft Office User:</t>
        </r>
        <r>
          <rPr>
            <sz val="10"/>
            <color rgb="FF000000"/>
            <rFont val="Tahoma"/>
            <family val="2"/>
          </rPr>
          <t xml:space="preserve">
</t>
        </r>
        <r>
          <rPr>
            <sz val="10"/>
            <color rgb="FF000000"/>
            <rFont val="Tahoma"/>
            <family val="2"/>
          </rPr>
          <t>Se resta en automatico el presupuesto - la cantidad cobrada de acuerdo al registro que se lleva mes a mes</t>
        </r>
      </text>
    </comment>
    <comment ref="H1" authorId="0" shapeId="0" xr:uid="{B29D16FF-ED59-204F-97A1-96D5F04172BE}">
      <text>
        <r>
          <rPr>
            <b/>
            <sz val="10"/>
            <color rgb="FF000000"/>
            <rFont val="Tahoma"/>
            <family val="2"/>
          </rPr>
          <t>Microsoft Office User:</t>
        </r>
        <r>
          <rPr>
            <sz val="10"/>
            <color rgb="FF000000"/>
            <rFont val="Tahoma"/>
            <family val="2"/>
          </rPr>
          <t xml:space="preserve">
</t>
        </r>
        <r>
          <rPr>
            <sz val="10"/>
            <color rgb="FF000000"/>
            <rFont val="Tahoma"/>
            <family val="2"/>
          </rPr>
          <t>Se suman las cantidades que se vayan introduciendo a partir de la columna J, con el fin de poder llevar un control de los montos que se han cobrado.</t>
        </r>
      </text>
    </comment>
    <comment ref="I1" authorId="0" shapeId="0" xr:uid="{AF5B382F-B871-814C-8951-92B838C4AC76}">
      <text>
        <r>
          <rPr>
            <b/>
            <sz val="10"/>
            <color rgb="FF000000"/>
            <rFont val="Tahoma"/>
            <family val="2"/>
          </rPr>
          <t>Microsoft Office User:</t>
        </r>
        <r>
          <rPr>
            <sz val="10"/>
            <color rgb="FF000000"/>
            <rFont val="Tahoma"/>
            <family val="2"/>
          </rPr>
          <t xml:space="preserve">
</t>
        </r>
        <r>
          <rPr>
            <sz val="10"/>
            <color rgb="FF000000"/>
            <rFont val="Tahoma"/>
            <family val="2"/>
          </rPr>
          <t>Esta casilla se utiliza para poner un saldo inicial de cuanto se ha cobrado en años anteriores</t>
        </r>
      </text>
    </comment>
    <comment ref="B12" authorId="1" shapeId="0" xr:uid="{00000000-0006-0000-0900-000001000000}">
      <text>
        <r>
          <rPr>
            <sz val="10"/>
            <rFont val="Arial"/>
          </rPr>
          <t xml:space="preserve">Me van a enviar una carta de cancelación administrativa del proyecto. Ya no se va a continuar. El cliente cancelo el proyecto.
</t>
        </r>
      </text>
    </comment>
    <comment ref="B13" authorId="1" shapeId="0" xr:uid="{00000000-0006-0000-0900-000003000000}">
      <text>
        <r>
          <rPr>
            <sz val="10"/>
            <rFont val="Arial"/>
          </rPr>
          <t xml:space="preserve">Alejandra:
Estuvo detuvo. Da inicio en Nov 2020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13" authorId="0" shapeId="0" xr:uid="{00000000-0006-0000-0A00-00000C000000}">
      <text>
        <r>
          <rPr>
            <sz val="10"/>
            <color rgb="FF000000"/>
            <rFont val="Arial"/>
            <family val="2"/>
          </rPr>
          <t xml:space="preserve">Kinenergy-Ale Mejia:
</t>
        </r>
        <r>
          <rPr>
            <sz val="10"/>
            <color rgb="FF000000"/>
            <rFont val="Arial"/>
            <family val="2"/>
          </rPr>
          <t xml:space="preserve">Son plataformas relacionadas con las actividades de diseño de proyectos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r>
          <rPr>
            <sz val="10"/>
            <color rgb="FF000000"/>
            <rFont val="Arial"/>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V10" authorId="0" shapeId="0" xr:uid="{00000000-0006-0000-0B00-000001000000}">
      <text>
        <r>
          <rPr>
            <sz val="10"/>
            <rFont val="Arial"/>
          </rPr>
          <t xml:space="preserve">Se considera: Arturo y Saul 
</t>
        </r>
      </text>
    </comment>
    <comment ref="BC10" authorId="0" shapeId="0" xr:uid="{00000000-0006-0000-0B00-000002000000}">
      <text>
        <r>
          <rPr>
            <sz val="10"/>
            <rFont val="Arial"/>
          </rPr>
          <t xml:space="preserve">Saúl y Alfredo
</t>
        </r>
      </text>
    </comment>
    <comment ref="BP10" authorId="0" shapeId="0" xr:uid="{00000000-0006-0000-0B00-000003000000}">
      <text>
        <r>
          <rPr>
            <sz val="10"/>
            <rFont val="Arial"/>
          </rPr>
          <t xml:space="preserve">HRM10 Kinenergy:
Arturo Cruz
</t>
        </r>
      </text>
    </comment>
    <comment ref="BQ10" authorId="0" shapeId="0" xr:uid="{00000000-0006-0000-0B00-000004000000}">
      <text>
        <r>
          <rPr>
            <sz val="10"/>
            <rFont val="Arial"/>
          </rPr>
          <t xml:space="preserve">HRM10 Kinenergy:
Arturo Cruz
</t>
        </r>
      </text>
    </comment>
    <comment ref="BR10" authorId="0" shapeId="0" xr:uid="{00000000-0006-0000-0B00-000005000000}">
      <text>
        <r>
          <rPr>
            <sz val="10"/>
            <rFont val="Arial"/>
          </rPr>
          <t xml:space="preserve">HRM10 Kinenergy:
Arturo Cruz
Juan Carlos 
</t>
        </r>
      </text>
    </comment>
    <comment ref="BS10" authorId="0" shapeId="0" xr:uid="{00000000-0006-0000-0B00-000006000000}">
      <text>
        <r>
          <rPr>
            <sz val="10"/>
            <rFont val="Arial"/>
          </rPr>
          <t xml:space="preserve">HRM10 Kinenergy:
Arturo Cruz
Juan Carlos Almeraya
</t>
        </r>
      </text>
    </comment>
    <comment ref="BT10" authorId="0" shapeId="0" xr:uid="{00000000-0006-0000-0B00-000007000000}">
      <text>
        <r>
          <rPr>
            <sz val="10"/>
            <rFont val="Arial"/>
          </rPr>
          <t xml:space="preserve">HRM10 Kinenergy:
Arturo Cruz
Juan Carlos 
</t>
        </r>
      </text>
    </comment>
    <comment ref="BU10" authorId="0" shapeId="0" xr:uid="{00000000-0006-0000-0B00-000008000000}">
      <text>
        <r>
          <rPr>
            <sz val="10"/>
            <rFont val="Arial"/>
          </rPr>
          <t xml:space="preserve">HRM10 Kinenergy:
Arturo Cruz
Juan Carlos 
</t>
        </r>
      </text>
    </comment>
    <comment ref="BV10" authorId="0" shapeId="0" xr:uid="{00000000-0006-0000-0B00-000009000000}">
      <text>
        <r>
          <rPr>
            <sz val="10"/>
            <rFont val="Arial"/>
          </rPr>
          <t xml:space="preserve">HRM10 Kinenergy:
Arturo Cruz
Juan Carlos 
</t>
        </r>
      </text>
    </comment>
    <comment ref="BW10" authorId="0" shapeId="0" xr:uid="{00000000-0006-0000-0B00-00000A000000}">
      <text>
        <r>
          <rPr>
            <sz val="10"/>
            <rFont val="Arial"/>
          </rPr>
          <t xml:space="preserve">HRM10 Kinenergy:
Arturo Cruz
Juan Carlos 
</t>
        </r>
      </text>
    </comment>
    <comment ref="BX10" authorId="0" shapeId="0" xr:uid="{00000000-0006-0000-0B00-00000B000000}">
      <text>
        <r>
          <rPr>
            <sz val="10"/>
            <rFont val="Arial"/>
          </rPr>
          <t xml:space="preserve">HRM10 Kinenergy:
Arturo Cruz
Juan Carlos 
</t>
        </r>
      </text>
    </comment>
    <comment ref="BY10" authorId="0" shapeId="0" xr:uid="{00000000-0006-0000-0B00-00000C000000}">
      <text>
        <r>
          <rPr>
            <sz val="10"/>
            <rFont val="Arial"/>
          </rPr>
          <t xml:space="preserve">HRM10 Kinenergy:
Arturo Cruz
Juan Carlos 
</t>
        </r>
      </text>
    </comment>
    <comment ref="BZ10" authorId="0" shapeId="0" xr:uid="{00000000-0006-0000-0B00-00000D000000}">
      <text>
        <r>
          <rPr>
            <sz val="10"/>
            <rFont val="Arial"/>
          </rPr>
          <t xml:space="preserve">HRM10 Kinenergy:
Arturo Cruz
Juan Carlos 
</t>
        </r>
      </text>
    </comment>
    <comment ref="CA10" authorId="0" shapeId="0" xr:uid="{00000000-0006-0000-0B00-00000E000000}">
      <text>
        <r>
          <rPr>
            <sz val="10"/>
            <rFont val="Arial"/>
          </rPr>
          <t xml:space="preserve">HRM10 Kinenergy:
Arturo Cruz
Juan Carlos 
</t>
        </r>
      </text>
    </comment>
    <comment ref="AQ11" authorId="0" shapeId="0" xr:uid="{00000000-0006-0000-0B00-00001B000000}">
      <text>
        <r>
          <rPr>
            <sz val="10"/>
            <rFont val="Arial"/>
          </rPr>
          <t xml:space="preserve">
Comentario:
Diseñador Electrico
</t>
        </r>
      </text>
    </comment>
    <comment ref="AR11" authorId="0" shapeId="0" xr:uid="{00000000-0006-0000-0B00-00001C000000}">
      <text>
        <r>
          <rPr>
            <sz val="10"/>
            <rFont val="Arial"/>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Diseñador IHS
</t>
        </r>
      </text>
    </comment>
    <comment ref="BP11" authorId="0" shapeId="0" xr:uid="{00000000-0006-0000-0B00-00001D000000}">
      <text>
        <r>
          <rPr>
            <sz val="10"/>
            <rFont val="Arial"/>
          </rPr>
          <t xml:space="preserve">HRM10 Kinenergy:
1. Alejandra Hdez
2. David Monroy
</t>
        </r>
      </text>
    </comment>
    <comment ref="BQ11" authorId="0" shapeId="0" xr:uid="{00000000-0006-0000-0B00-00001E000000}">
      <text>
        <r>
          <rPr>
            <sz val="10"/>
            <rFont val="Arial"/>
          </rPr>
          <t xml:space="preserve">HRM10 Kinenergy:
1. Alejandra Hdez
2. David Monroy
</t>
        </r>
      </text>
    </comment>
    <comment ref="BR11" authorId="0" shapeId="0" xr:uid="{00000000-0006-0000-0B00-00001F000000}">
      <text>
        <r>
          <rPr>
            <sz val="10"/>
            <rFont val="Arial"/>
          </rPr>
          <t xml:space="preserve">HRM10 Kinenergy:
1. Design Manager Administrativo
2. David Monroy
</t>
        </r>
      </text>
    </comment>
    <comment ref="BS11" authorId="0" shapeId="0" xr:uid="{00000000-0006-0000-0B00-000020000000}">
      <text>
        <r>
          <rPr>
            <sz val="10"/>
            <rFont val="Arial"/>
          </rPr>
          <t xml:space="preserve">HRM10 Kinenergy:
1. David Monroy
2. Design Manager admvo Nuevo
3. Ing Senior Especiales
</t>
        </r>
      </text>
    </comment>
    <comment ref="BT11" authorId="0" shapeId="0" xr:uid="{00000000-0006-0000-0B00-000021000000}">
      <text>
        <r>
          <rPr>
            <sz val="10"/>
            <rFont val="Arial"/>
          </rPr>
          <t xml:space="preserve">HRM10 Kinenergy:
1. David Monroy
2. Design Manager admvo Nuevo
3. Senior Especialista
</t>
        </r>
      </text>
    </comment>
    <comment ref="BU11" authorId="0" shapeId="0" xr:uid="{00000000-0006-0000-0B00-000022000000}">
      <text>
        <r>
          <rPr>
            <sz val="10"/>
            <rFont val="Arial"/>
          </rPr>
          <t xml:space="preserve">HRM10 Kinenergy:
1. David Monroy
2. Design Manager admvo Nuevo
3. Senior Especialista
</t>
        </r>
      </text>
    </comment>
    <comment ref="BV11" authorId="0" shapeId="0" xr:uid="{00000000-0006-0000-0B00-000023000000}">
      <text>
        <r>
          <rPr>
            <sz val="10"/>
            <rFont val="Arial"/>
          </rPr>
          <t xml:space="preserve">HRM10 Kinenergy:
1. David Monroy
2. Design Manager admvo Nuevo
3. Senior Especialista
</t>
        </r>
      </text>
    </comment>
    <comment ref="BW11" authorId="0" shapeId="0" xr:uid="{00000000-0006-0000-0B00-000024000000}">
      <text>
        <r>
          <rPr>
            <sz val="10"/>
            <rFont val="Arial"/>
          </rPr>
          <t xml:space="preserve">HRM10 Kinenergy:
1. David Monroy
2. Design Manager admvo Nuevo
3. Senior Especialista
</t>
        </r>
      </text>
    </comment>
    <comment ref="BX11" authorId="0" shapeId="0" xr:uid="{00000000-0006-0000-0B00-000025000000}">
      <text>
        <r>
          <rPr>
            <sz val="10"/>
            <rFont val="Arial"/>
          </rPr>
          <t xml:space="preserve">HRM10 Kinenergy:
1. David Monroy
2. Design Manager admvo Nuevo
3. Senior Especialista
</t>
        </r>
      </text>
    </comment>
    <comment ref="BY11" authorId="0" shapeId="0" xr:uid="{00000000-0006-0000-0B00-000026000000}">
      <text>
        <r>
          <rPr>
            <sz val="10"/>
            <rFont val="Arial"/>
          </rPr>
          <t xml:space="preserve">HRM10 Kinenergy:
1. David Monroy
2. Design Manager admvo Nuevo
3. Senior Especialista
</t>
        </r>
      </text>
    </comment>
    <comment ref="BZ11" authorId="0" shapeId="0" xr:uid="{00000000-0006-0000-0B00-000027000000}">
      <text>
        <r>
          <rPr>
            <sz val="10"/>
            <rFont val="Arial"/>
          </rPr>
          <t xml:space="preserve">HRM10 Kinenergy:
1. David Monroy
2. Design Manager admvo Nuevo
3. Senior Especialista
</t>
        </r>
      </text>
    </comment>
    <comment ref="CA11" authorId="0" shapeId="0" xr:uid="{00000000-0006-0000-0B00-000028000000}">
      <text>
        <r>
          <rPr>
            <sz val="10"/>
            <rFont val="Arial"/>
          </rPr>
          <t xml:space="preserve">HRM10 Kinenergy:
1. David Monroy
2. Design Manager admvo Nuevo
3. Senior Especialista
</t>
        </r>
      </text>
    </comment>
    <comment ref="O23" authorId="0" shapeId="0" xr:uid="{00000000-0006-0000-0B00-00009A000000}">
      <text>
        <r>
          <rPr>
            <sz val="10"/>
            <rFont val="Arial"/>
          </rPr>
          <t xml:space="preserve">Kinenergy-Javier:
Solo tienen derecho a prima vacacional las personas que tienen un año en la empresa. En este año solo 4empleados cumplen el requisito, por eso se quita el porporcional mensual adicional que en este caso son 503 pesos mensuales
</t>
        </r>
      </text>
    </comment>
    <comment ref="O26" authorId="0" shapeId="0" xr:uid="{00000000-0006-0000-0B00-00009C000000}">
      <text>
        <r>
          <rPr>
            <sz val="10"/>
            <rFont val="Arial"/>
          </rPr>
          <t xml:space="preserve">Hendrick Muñoz:
Se esta considerando un monto de costo adicional al sueldo por pago de ISN, comisión de outsourcing de aproximadamente 17%
adicional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AP6" authorId="0" shapeId="0" xr:uid="{00000000-0006-0000-1000-000001000000}">
      <text>
        <r>
          <rPr>
            <sz val="10"/>
            <rFont val="Arial"/>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pago en 2019: 333,515.96 .
Se divide entre los 12 meses del año y se divide / el numero de personal que se tiene contemplado a mediados del 2020 (13 personaas)
</t>
        </r>
      </text>
    </comment>
    <comment ref="AP12" authorId="0" shapeId="0" xr:uid="{00000000-0006-0000-1000-000002000000}">
      <text>
        <r>
          <rPr>
            <sz val="10"/>
            <rFont val="Arial"/>
          </rPr>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Se obtiene de sumar las 5 lic BIM y una Coordinate Precio 2019 3150 y 546 dlls
</t>
        </r>
      </text>
    </comment>
    <comment ref="BT15" authorId="0" shapeId="0" xr:uid="{00000000-0006-0000-1000-000003000000}">
      <text>
        <r>
          <rPr>
            <sz val="10"/>
            <rFont val="Arial"/>
          </rPr>
          <t xml:space="preserve">Hydraclac o Sprinkcad para BIM o equivalente
</t>
        </r>
      </text>
    </comment>
    <comment ref="BU15" authorId="0" shapeId="0" xr:uid="{00000000-0006-0000-1000-000004000000}">
      <text>
        <r>
          <rPr>
            <sz val="10"/>
            <rFont val="Arial"/>
          </rPr>
          <t xml:space="preserve">ETAP BIM
</t>
        </r>
      </text>
    </comment>
  </commentList>
</comments>
</file>

<file path=xl/sharedStrings.xml><?xml version="1.0" encoding="utf-8"?>
<sst xmlns="http://schemas.openxmlformats.org/spreadsheetml/2006/main" count="455" uniqueCount="354">
  <si>
    <t>Cliente</t>
  </si>
  <si>
    <t>Proyecto</t>
  </si>
  <si>
    <t>Contratado</t>
  </si>
  <si>
    <t>Descuento por eventualidad 15%</t>
  </si>
  <si>
    <t>Costo por hora</t>
  </si>
  <si>
    <t>Duración en Meses (modificar por HM o FV)</t>
  </si>
  <si>
    <t>Horas presupuestadas</t>
  </si>
  <si>
    <t>Indicador</t>
  </si>
  <si>
    <t>Dia</t>
  </si>
  <si>
    <t>Fecha inicio</t>
  </si>
  <si>
    <t>Fecha Final</t>
  </si>
  <si>
    <t>Numero de meses ptto.</t>
  </si>
  <si>
    <t>CW</t>
  </si>
  <si>
    <t>CITI  Sitio Secundario</t>
  </si>
  <si>
    <t>CW</t>
  </si>
  <si>
    <t>CW-Citi PC</t>
  </si>
  <si>
    <t>CW</t>
  </si>
  <si>
    <t>Centtral Interlomas</t>
  </si>
  <si>
    <t>CW</t>
  </si>
  <si>
    <t>San Jerónimo</t>
  </si>
  <si>
    <t>CW</t>
  </si>
  <si>
    <t>Revolución 1381</t>
  </si>
  <si>
    <t>CW</t>
  </si>
  <si>
    <t>Tech Parc</t>
  </si>
  <si>
    <t>THREE</t>
  </si>
  <si>
    <t>Edificio Insignia Saltillo</t>
  </si>
  <si>
    <t>CW</t>
  </si>
  <si>
    <t>CW-Metlife Revisión</t>
  </si>
  <si>
    <t>CW</t>
  </si>
  <si>
    <t>CW-Metlife LEED</t>
  </si>
  <si>
    <t>EcostudioXV</t>
  </si>
  <si>
    <t>EcoXV-Citi-Insur</t>
  </si>
  <si>
    <t>Citi</t>
  </si>
  <si>
    <t>Citi Primario Sistemas Críticos</t>
  </si>
  <si>
    <t>CW</t>
  </si>
  <si>
    <t>Torre Cervantes</t>
  </si>
  <si>
    <t>CW</t>
  </si>
  <si>
    <t>Torre Santa Fe</t>
  </si>
  <si>
    <t>CW</t>
  </si>
  <si>
    <t>Scotiabank</t>
  </si>
  <si>
    <t>-</t>
  </si>
  <si>
    <t>CW</t>
  </si>
  <si>
    <t>Ingenieros Militares</t>
  </si>
  <si>
    <t>AMBIENTE</t>
  </si>
  <si>
    <t>Museo Miraflores Spectrum</t>
  </si>
  <si>
    <t>AMBIENTE</t>
  </si>
  <si>
    <t>HQ Fontabella</t>
  </si>
  <si>
    <t>AMBIENTE</t>
  </si>
  <si>
    <t>Casa Quinchón</t>
  </si>
  <si>
    <t>-</t>
  </si>
  <si>
    <t>-</t>
  </si>
  <si>
    <t>AMBIENTE</t>
  </si>
  <si>
    <t>Granat</t>
  </si>
  <si>
    <t>Bank of America</t>
  </si>
  <si>
    <t>BOAML</t>
  </si>
  <si>
    <t>AMBIENTE</t>
  </si>
  <si>
    <t>SOMA/jaspersen</t>
  </si>
  <si>
    <t>C&amp;W</t>
  </si>
  <si>
    <t>Johnson and Johnson</t>
  </si>
  <si>
    <t>c&amp;W</t>
  </si>
  <si>
    <t>Corporativo Polanco VF</t>
  </si>
  <si>
    <t>CW</t>
  </si>
  <si>
    <t>Willis CI Hermosillo</t>
  </si>
  <si>
    <t>EcostudioXV</t>
  </si>
  <si>
    <t>Torre Esmeralda</t>
  </si>
  <si>
    <t>AMBIENTE</t>
  </si>
  <si>
    <t>Ingenieria TOTO</t>
  </si>
  <si>
    <t>AMBIENTE</t>
  </si>
  <si>
    <t>Modelado Jaspersen</t>
  </si>
  <si>
    <t>Colmenares</t>
  </si>
  <si>
    <t>Beelieve</t>
  </si>
  <si>
    <t>CW</t>
  </si>
  <si>
    <t>Ingenierias CWT</t>
  </si>
  <si>
    <t>CW</t>
  </si>
  <si>
    <t>DD Universidad</t>
  </si>
  <si>
    <t>CW</t>
  </si>
  <si>
    <t>Proyecto One</t>
  </si>
  <si>
    <t>KIO</t>
  </si>
  <si>
    <t>KIO MTY Levantamiento</t>
  </si>
  <si>
    <t>CW</t>
  </si>
  <si>
    <t>Jajalpa Office Park/Jaigon Jajalpa</t>
  </si>
  <si>
    <t>CW</t>
  </si>
  <si>
    <t>Corporativo Vía Magna/Jaigon Interlomas</t>
  </si>
  <si>
    <t>CW</t>
  </si>
  <si>
    <t>German Center Gap Analysis</t>
  </si>
  <si>
    <t>CW</t>
  </si>
  <si>
    <t>Jumex</t>
  </si>
  <si>
    <t>CW</t>
  </si>
  <si>
    <t>Citi OLA II</t>
  </si>
  <si>
    <t>AMBIENTE</t>
  </si>
  <si>
    <t>Argos</t>
  </si>
  <si>
    <t>AMBIENTE</t>
  </si>
  <si>
    <t>Torre III Margaritas</t>
  </si>
  <si>
    <t>Iniciativas Balanced Scorecard 2018</t>
  </si>
  <si>
    <t>Tablas</t>
  </si>
  <si>
    <t>Pronostico</t>
  </si>
  <si>
    <t>Dicha tabla se cálcula el pronostico de como se comportara los ingresos de los proyectos</t>
  </si>
  <si>
    <t>Real</t>
  </si>
  <si>
    <t>Presupuesto</t>
  </si>
  <si>
    <t>Se utiliza para generar un presupuesto anual</t>
  </si>
  <si>
    <t>Cal presupuestos de consultoría</t>
  </si>
  <si>
    <t>Se cálcula los gastos que se realizaran por aumento en la plantilla de persona</t>
  </si>
  <si>
    <t>TOTAL</t>
  </si>
  <si>
    <t>Pronostico Ingresos con IVA</t>
  </si>
  <si>
    <t>Real</t>
  </si>
  <si>
    <t>Pronostico Ingresos Sin  IVA</t>
  </si>
  <si>
    <t>Pronostico Ingresos SIN IVA</t>
  </si>
  <si>
    <t>Real Ingresos Sin IVA</t>
  </si>
  <si>
    <t>Real Sin IVA</t>
  </si>
  <si>
    <t>Desvío</t>
  </si>
  <si>
    <t>Cliente</t>
  </si>
  <si>
    <t>Proyecto</t>
  </si>
  <si>
    <t>Ciclo de cobro en dias</t>
  </si>
  <si>
    <t>Presupuesto</t>
  </si>
  <si>
    <t>Cantidad pendiente por cobrar</t>
  </si>
  <si>
    <t>Cantidad cobrada</t>
  </si>
  <si>
    <t>Saldo Inicial</t>
  </si>
  <si>
    <t>Total</t>
  </si>
  <si>
    <t>Total</t>
  </si>
  <si>
    <t>Pronostico</t>
  </si>
  <si>
    <t>Totales</t>
  </si>
  <si>
    <t>Cliente</t>
  </si>
  <si>
    <t>Ingresos estimados</t>
  </si>
  <si>
    <t>Avance de Proyecto %</t>
  </si>
  <si>
    <t>Avance de Proyecto $</t>
  </si>
  <si>
    <t>Status del proyecto</t>
  </si>
  <si>
    <t>Presupuesto</t>
  </si>
  <si>
    <t>Cantidad pendiente por cobrar</t>
  </si>
  <si>
    <t>Cantidad cobrada</t>
  </si>
  <si>
    <t>Total 2023</t>
  </si>
  <si>
    <t>Totales</t>
  </si>
  <si>
    <t>No se mueven se autocalculan</t>
  </si>
  <si>
    <t>Se pueden modificar</t>
  </si>
  <si>
    <t>Totales de cuentas secundarias (se autocálcula)</t>
  </si>
  <si>
    <t>Totales de cuentas primarias (se autocálcula)</t>
  </si>
  <si>
    <t>Gran total (se autocálcula)</t>
  </si>
  <si>
    <t>PRESUPUESTO 2023</t>
  </si>
  <si>
    <t>Total</t>
  </si>
  <si>
    <t>Egresos</t>
  </si>
  <si>
    <t>  GASTOS DE SERVICIO</t>
  </si>
  <si>
    <t>    GASTOS PROYECTO</t>
  </si>
  <si>
    <t>Plataforma para proyectos</t>
  </si>
  <si>
    <t>Gastos de viaje de proyectos</t>
  </si>
  <si>
    <t>Servicios profesionales</t>
  </si>
  <si>
    <t>Comisiones por venta</t>
  </si>
  <si>
    <t>Otros Gastos de proyectos</t>
  </si>
  <si>
    <t>    Total GASTOS PROYECTO</t>
  </si>
  <si>
    <t>    GASTOS DE CONSULTORIA</t>
  </si>
  <si>
    <t>      Total Sueldos Generales de Consultoria</t>
  </si>
  <si>
    <t>      Prestaciones adicionales</t>
  </si>
  <si>
    <t>        Prima Seguros</t>
  </si>
  <si>
    <t xml:space="preserve">        Telefonia</t>
  </si>
  <si>
    <t xml:space="preserve">        Licencias (plataformas)</t>
  </si>
  <si>
    <t>      Total Prestaciones adicionales</t>
  </si>
  <si>
    <t>Vacaciones</t>
  </si>
  <si>
    <t>Aguinaldo</t>
  </si>
  <si>
    <t>      Total Seguro Social prestaciones de ley</t>
  </si>
  <si>
    <t>      Liquidaciones</t>
  </si>
  <si>
    <t>    Total GASTOS DE CONSULTORIA</t>
  </si>
  <si>
    <t xml:space="preserve">      Bono por facturación</t>
  </si>
  <si>
    <t>      Cursos y capacitación</t>
  </si>
  <si>
    <t>    Total Capacitación y bonos</t>
  </si>
  <si>
    <t>  Total GASTOS DE SERVICIO</t>
  </si>
  <si>
    <t>GASTOS COMERCIALES</t>
  </si>
  <si>
    <t>    Total Gastos comerciales</t>
  </si>
  <si>
    <t>  GASTOS ADMINISTRATIVOS</t>
  </si>
  <si>
    <t>    Gasto Estructural</t>
  </si>
  <si>
    <t xml:space="preserve">       Sueldo Serv Generales</t>
  </si>
  <si>
    <t xml:space="preserve">       Costos adicionales de sueldos administr (sin iva)</t>
  </si>
  <si>
    <t>Total Sueldos y prestaciones Admin</t>
  </si>
  <si>
    <t>      Honorarios CP/Abogados/Apoyo IT</t>
  </si>
  <si>
    <t>      Licencias y plataformas</t>
  </si>
  <si>
    <t xml:space="preserve">      Papelería</t>
  </si>
  <si>
    <t>      Rentas</t>
  </si>
  <si>
    <t>      Agua, Luz, gas</t>
  </si>
  <si>
    <t>      Telefonos, celulares e internet</t>
  </si>
  <si>
    <t>      Transportes y envíos</t>
  </si>
  <si>
    <t>  Total GASTOS ADMINISTRATIVOS</t>
  </si>
  <si>
    <t>Gastos Desarrollo Organizacional y Reclutamiento</t>
  </si>
  <si>
    <t>    Gastos Dho</t>
  </si>
  <si>
    <t>Total Gastos Dho y Reclutamiento</t>
  </si>
  <si>
    <t>  GASTOS FINANCIEROS</t>
  </si>
  <si>
    <t>    Comisiones</t>
  </si>
  <si>
    <t>    Intereses</t>
  </si>
  <si>
    <t>  Total GASTOS FINANCIEROS</t>
  </si>
  <si>
    <t>TOTAL DE GASTOS</t>
  </si>
  <si>
    <t>* Los únicos elementos que se pueden modificar son la tablas en azul y blanco, estos son los valores de salario promedio y el número de personas.</t>
  </si>
  <si>
    <t>Las tablas verdes con blanco se autocalculan</t>
  </si>
  <si>
    <t>Incremento Salarial ptto</t>
  </si>
  <si>
    <t>Total</t>
  </si>
  <si>
    <t>Total</t>
  </si>
  <si>
    <t>Total</t>
  </si>
  <si>
    <t>Total</t>
  </si>
  <si>
    <t>Total</t>
  </si>
  <si>
    <t>Total</t>
  </si>
  <si>
    <t>Total</t>
  </si>
  <si>
    <t>Salarios</t>
  </si>
  <si>
    <t>Consultor Especialista</t>
  </si>
  <si>
    <t>#NAME?</t>
  </si>
  <si>
    <t>#NAME?</t>
  </si>
  <si>
    <t>#NAME?</t>
  </si>
  <si>
    <t>#NAME?</t>
  </si>
  <si>
    <t>#NAME?</t>
  </si>
  <si>
    <t>#NAME?</t>
  </si>
  <si>
    <t>#NAME?</t>
  </si>
  <si>
    <t>#NAME?</t>
  </si>
  <si>
    <t>#NAME?</t>
  </si>
  <si>
    <t>#NAME?</t>
  </si>
  <si>
    <t>#NAME?</t>
  </si>
  <si>
    <t>#NAME?</t>
  </si>
  <si>
    <t>Consultor Diseñador</t>
  </si>
  <si>
    <t>Consultor Jr</t>
  </si>
  <si>
    <t>Número de elementos</t>
  </si>
  <si>
    <t>Consultor Especialista</t>
  </si>
  <si>
    <t>    GASTOS DE CONSULTORIA</t>
  </si>
  <si>
    <t>    GASTOS DE CONSULTORIA</t>
  </si>
  <si>
    <t>      Sueldos Generales de Consultoria</t>
  </si>
  <si>
    <t>      Sueldos Generales de Consultoria</t>
  </si>
  <si>
    <t>Sueldo Consultores</t>
  </si>
  <si>
    <t>Sueldo Consultores</t>
  </si>
  <si>
    <t>      Total Sueldos Generales de Consultoria</t>
  </si>
  <si>
    <t>      Total Sueldos Generales de Consultoria</t>
  </si>
  <si>
    <t>      Prestaciones adicionales</t>
  </si>
  <si>
    <t>      Prestaciones adicionales</t>
  </si>
  <si>
    <t>SGMM</t>
  </si>
  <si>
    <t>Telefonia</t>
  </si>
  <si>
    <t>Telefonia</t>
  </si>
  <si>
    <t>      Total Prestaciones adicionales</t>
  </si>
  <si>
    <t>      Total Prestaciones</t>
  </si>
  <si>
    <t>Prestaciones de ley</t>
  </si>
  <si>
    <t>Prestaciones de ley</t>
  </si>
  <si>
    <t>Vuelos Nacionales/Internacionales</t>
  </si>
  <si>
    <t>Vuelos Nacionales/Internacionales</t>
  </si>
  <si>
    <t>Vacaciones</t>
  </si>
  <si>
    <t>Vacaciones</t>
  </si>
  <si>
    <t>Aguinaldo</t>
  </si>
  <si>
    <t>Aguinaldo</t>
  </si>
  <si>
    <t>      Total Prestaciones de ley</t>
  </si>
  <si>
    <t>      Total Prestaciones adicionales</t>
  </si>
  <si>
    <t>Costos adicionales de sueldos (sin iva)</t>
  </si>
  <si>
    <t>Costos adicionales de sueldos (sin iva)</t>
  </si>
  <si>
    <t>      Liquidaciones</t>
  </si>
  <si>
    <t>      Liquidaciones</t>
  </si>
  <si>
    <t>      Seguridad Social externa</t>
  </si>
  <si>
    <t>     3% ISN</t>
  </si>
  <si>
    <t>     3% ISN</t>
  </si>
  <si>
    <t>     IMSS SAR INFONAVIT</t>
  </si>
  <si>
    <t>     IMSS SAR INFONAVIT</t>
  </si>
  <si>
    <t>      Total Costos  adicionales de sueldos</t>
  </si>
  <si>
    <t>      Total Costos  adicionales de sueldos</t>
  </si>
  <si>
    <t>    Total GASTOS DE CONSULTORIA</t>
  </si>
  <si>
    <t>    Total GASTOS DE CONSULTORIA</t>
  </si>
  <si>
    <t>Licencias</t>
  </si>
  <si>
    <t>Ingresos</t>
  </si>
  <si>
    <t>* Los únicos elementos que se pueden modificar son la tablas en azul y blanco, estos son los valores de salario promedio y el número de personas.</t>
  </si>
  <si>
    <t>Las tablas verdes con blanco se autocalculan</t>
  </si>
  <si>
    <t>Total</t>
  </si>
  <si>
    <t>Total</t>
  </si>
  <si>
    <t>Total</t>
  </si>
  <si>
    <t>Total</t>
  </si>
  <si>
    <t>Total</t>
  </si>
  <si>
    <t>Total</t>
  </si>
  <si>
    <t>Total</t>
  </si>
  <si>
    <t>Programas</t>
  </si>
  <si>
    <t>Autocad</t>
  </si>
  <si>
    <t>Revit</t>
  </si>
  <si>
    <t>Office</t>
  </si>
  <si>
    <t>Zoho One</t>
  </si>
  <si>
    <t>BIM 360 Field</t>
  </si>
  <si>
    <t>Adobe Illustrator (diseño) (se comparte con todos)</t>
  </si>
  <si>
    <t>Bim 360 desing y Coordinate (ingenieria)</t>
  </si>
  <si>
    <t>Eq. Computo</t>
  </si>
  <si>
    <t>Laptops Arrendamiento</t>
  </si>
  <si>
    <t>Adicionales Ingenieria</t>
  </si>
  <si>
    <t>Tablets/Ipads</t>
  </si>
  <si>
    <t>ing</t>
  </si>
  <si>
    <t>Todos</t>
  </si>
  <si>
    <t>Total ING</t>
  </si>
  <si>
    <t>Todos</t>
  </si>
  <si>
    <t>Total Ing</t>
  </si>
  <si>
    <t>Todos</t>
  </si>
  <si>
    <t>Total Ing</t>
  </si>
  <si>
    <t>CX</t>
  </si>
  <si>
    <t>Total CX</t>
  </si>
  <si>
    <t>Total CX</t>
  </si>
  <si>
    <t>Total CX</t>
  </si>
  <si>
    <t>Consultor Ingenieria</t>
  </si>
  <si>
    <t>Servicios Generales</t>
  </si>
  <si>
    <t>Servicios Generales</t>
  </si>
  <si>
    <t>Comercial</t>
  </si>
  <si>
    <t>Direccción y Gerencia</t>
  </si>
  <si>
    <t>Direccción y Gerencia</t>
  </si>
  <si>
    <t>Número de elementos</t>
  </si>
  <si>
    <t>Autocad</t>
  </si>
  <si>
    <t>Revit</t>
  </si>
  <si>
    <t>BIM 360 Field</t>
  </si>
  <si>
    <t>Office</t>
  </si>
  <si>
    <t>Zoho One</t>
  </si>
  <si>
    <t>Eq. Computo operativo</t>
  </si>
  <si>
    <t>Laptops</t>
  </si>
  <si>
    <t>Eq Computo Serv Generales</t>
  </si>
  <si>
    <t>Eq.  Computo comercial</t>
  </si>
  <si>
    <t>Ipads</t>
  </si>
  <si>
    <t>Ipads</t>
  </si>
  <si>
    <t>TOTAL PLATAFORMAS</t>
  </si>
  <si>
    <t>TOTAL PLATAFORMAS</t>
  </si>
  <si>
    <t>Programa 2</t>
  </si>
  <si>
    <t xml:space="preserve">Se registran los valores de los pagos ingresados a las cuentas de </t>
  </si>
  <si>
    <t>Sueldo</t>
  </si>
  <si>
    <t xml:space="preserve">      Sueldos Generales </t>
  </si>
  <si>
    <t>Proyecto 1</t>
  </si>
  <si>
    <t>Proyecto 2</t>
  </si>
  <si>
    <t>Proyecto 3</t>
  </si>
  <si>
    <t>Proyecto 4</t>
  </si>
  <si>
    <t>Proyecto 5</t>
  </si>
  <si>
    <t>Proyecto 6</t>
  </si>
  <si>
    <t>Proyecto 7</t>
  </si>
  <si>
    <t>Proyecto 8</t>
  </si>
  <si>
    <t>Proyecto 9</t>
  </si>
  <si>
    <t>Proyecto 10</t>
  </si>
  <si>
    <t>Proyecto 11</t>
  </si>
  <si>
    <t>Proyecto 12</t>
  </si>
  <si>
    <t>Proyecto 13</t>
  </si>
  <si>
    <t>Proyecto 14</t>
  </si>
  <si>
    <t>Proyecto 15</t>
  </si>
  <si>
    <t>Proyecto 16</t>
  </si>
  <si>
    <t>Proyecto 17</t>
  </si>
  <si>
    <t>Proyecto 18</t>
  </si>
  <si>
    <t>Proyecto 19</t>
  </si>
  <si>
    <t>Saldo Inicial 2023</t>
  </si>
  <si>
    <t>Total 2024</t>
  </si>
  <si>
    <t>Abierto</t>
  </si>
  <si>
    <t>Status del Proyecto</t>
  </si>
  <si>
    <t>Programa 1</t>
  </si>
  <si>
    <t>Programa 3</t>
  </si>
  <si>
    <t>Consultor</t>
  </si>
  <si>
    <t>Número de personas</t>
  </si>
  <si>
    <t xml:space="preserve">      Seguridad Social </t>
  </si>
  <si>
    <t>Consultor Sr</t>
  </si>
  <si>
    <t>      Total Costos Adicionales y prestaciones</t>
  </si>
  <si>
    <t>Sueldos comerciales</t>
  </si>
  <si>
    <t>Otros gastos comerciales</t>
  </si>
  <si>
    <t>Otros gastos</t>
  </si>
  <si>
    <t xml:space="preserve">       Costos adicionales de sueldos de cimercial (sin iva)</t>
  </si>
  <si>
    <t>Total Gasto Estructural</t>
  </si>
  <si>
    <t>Gastos presupuestados</t>
  </si>
  <si>
    <t>Pronostico de gastos</t>
  </si>
  <si>
    <t xml:space="preserve">Real Ingresos con IVA </t>
  </si>
  <si>
    <t xml:space="preserve">Pronostico de utilidad </t>
  </si>
  <si>
    <t>Pronostico Acumulado de utilidad</t>
  </si>
  <si>
    <t>Cal plataformas</t>
  </si>
  <si>
    <t>Una calculadora de presupuestos para conocer el costo por persona por uso de software y computadoras.</t>
  </si>
  <si>
    <t>Graficas</t>
  </si>
  <si>
    <t>Nos dara la utilidad pronosticada mes a mes y acumulada, con el fin de hacer predicciones de cuando se requerira algun prestamo, ajuste presupuestal o aportación a capital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</si>
</sst>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_(&quot;$&quot;* \(#,##0.00\);_(&quot;$&quot;* &quot;-&quot;??_);_(@_)"/>
    <numFmt numFmtId="164" formatCode="[&gt;0]&quot;&quot;&quot; $&quot;* #,##0.00\ ;[&lt;0]&quot;-$&quot;* #,##0.00\ ;&quot; $&quot;* \-#00\ "/>
    <numFmt numFmtId="167" formatCode="&quot;&quot;#0%"/>
    <numFmt numFmtId="169" formatCode="[&gt;=0]&quot;&quot;\$#,##0.00\ ;[Red]&quot;($&quot;#,##0.00\)"/>
    <numFmt numFmtId="170" formatCode="&quot;&quot;#0"/>
    <numFmt numFmtId="171" formatCode="mm\-dd\-yy"/>
    <numFmt numFmtId="172" formatCode="[&gt;0]&quot;&quot;\ * #,##0.00\ ;[&lt;0]\ * \(#,##0.00\);\ * \-#00\ "/>
    <numFmt numFmtId="173" formatCode="[&gt;0]&quot;&quot;&quot; $&quot;* #,##0.00\ ;[&lt;0]&quot; $&quot;* \(#,##0.00\);&quot; $&quot;* \-#00\ "/>
    <numFmt numFmtId="175" formatCode="&quot;$&quot;#,##0.00"/>
    <numFmt numFmtId="176" formatCode="[&gt;0]_(&quot;$&quot;* #,##0.00_);[&lt;0]_(&quot;$&quot;* \(#,##0.00\);_(&quot;$&quot;* &quot;-&quot;#??_);_(@_)"/>
    <numFmt numFmtId="177" formatCode="mmm\ d"/>
    <numFmt numFmtId="178" formatCode="[&gt;0]\ &quot;$&quot;* #,##0.00\ ;[&lt;0]\-&quot;$&quot;* #,##0.00\ ;\ &quot;$&quot;* &quot;-&quot;#??\ "/>
    <numFmt numFmtId="179" formatCode="[&gt;=0]&quot;&quot;#,##0.00;[Red]\(#,##0.00\)"/>
    <numFmt numFmtId="180" formatCode="&quot;&quot;#,##0.00"/>
    <numFmt numFmtId="181" formatCode="#0.00"/>
    <numFmt numFmtId="182" formatCode="mmm\-d"/>
    <numFmt numFmtId="189" formatCode="[&gt;0]\ &quot;$&quot;* #,##0.00\ ;[&lt;0]\ &quot;$&quot;* \(#,##0.00\);\ &quot;$&quot;* &quot;-&quot;#??\ "/>
    <numFmt numFmtId="192" formatCode="&quot;&quot;#,##0"/>
    <numFmt numFmtId="193" formatCode="#0%"/>
    <numFmt numFmtId="197" formatCode="[&gt;0]&quot;&quot;\ * #,##0\ ;[&lt;0]\-* #,##0\ ;\ * \-#00\ "/>
    <numFmt numFmtId="200" formatCode="[&gt;0]\ * #,##0.00\ ;[&lt;0]\-* #,##0.00\ ;\ * &quot;-&quot;#??\ ;\ @\ "/>
    <numFmt numFmtId="202" formatCode="#0"/>
  </numFmts>
  <fonts count="48">
    <font>
      <sz val="10"/>
      <name val="Arial"/>
    </font>
    <font>
      <sz val="9"/>
      <name val="Century Gothic"/>
    </font>
    <font>
      <sz val="11"/>
      <name val="Century Gothic"/>
    </font>
    <font>
      <sz val="11"/>
      <name val="Calibri"/>
    </font>
    <font>
      <b/>
      <sz val="11"/>
      <name val="Calibri"/>
    </font>
    <font>
      <b/>
      <sz val="10"/>
      <name val="Arial"/>
    </font>
    <font>
      <b/>
      <sz val="12"/>
      <name val="Calibri"/>
    </font>
    <font>
      <b/>
      <sz val="12"/>
      <color rgb="FFFFFFFF"/>
      <name val="Century Gothic"/>
    </font>
    <font>
      <b/>
      <sz val="18"/>
      <name val="Calibri"/>
    </font>
    <font>
      <b/>
      <sz val="10"/>
      <name val="Arial"/>
    </font>
    <font>
      <sz val="11"/>
      <name val="Calibri"/>
    </font>
    <font>
      <b/>
      <sz val="11"/>
      <color rgb="FFFFFFFF"/>
      <name val="Century Gothic"/>
    </font>
    <font>
      <b/>
      <sz val="12"/>
      <color rgb="FFFFFFFF"/>
      <name val="Calibri"/>
    </font>
    <font>
      <sz val="10"/>
      <name val="Arial"/>
    </font>
    <font>
      <b/>
      <sz val="11"/>
      <color rgb="FFFFFFFF"/>
      <name val="Calibri"/>
    </font>
    <font>
      <sz val="10"/>
      <color rgb="FFFFFFFF"/>
      <name val="Arial"/>
    </font>
    <font>
      <sz val="11"/>
      <color rgb="FFFFFFFF"/>
      <name val="Calibri"/>
    </font>
    <font>
      <sz val="11"/>
      <color rgb="FFFFFFFF"/>
      <name val="Arial"/>
    </font>
    <font>
      <sz val="11"/>
      <color rgb="FF212529"/>
      <name val="Inter"/>
    </font>
    <font>
      <b/>
      <sz val="11"/>
      <name val="Century Gothic"/>
    </font>
    <font>
      <b/>
      <sz val="12"/>
      <name val="Century Gothic"/>
    </font>
    <font>
      <sz val="12"/>
      <color rgb="FFFFFFFF"/>
      <name val="Century Gothic"/>
    </font>
    <font>
      <b/>
      <sz val="12"/>
      <name val="Arial"/>
    </font>
    <font>
      <b/>
      <sz val="9"/>
      <name val="Century Gothic"/>
    </font>
    <font>
      <b/>
      <i/>
      <sz val="11"/>
      <name val="Century Gothic"/>
    </font>
    <font>
      <i/>
      <sz val="9"/>
      <name val="Century Gothic"/>
    </font>
    <font>
      <b/>
      <sz val="11"/>
      <name val="Arial"/>
    </font>
    <font>
      <b/>
      <i/>
      <sz val="14"/>
      <name val="Century Gothic"/>
    </font>
    <font>
      <b/>
      <sz val="10"/>
      <name val="Century Gothic"/>
    </font>
    <font>
      <b/>
      <i/>
      <sz val="10"/>
      <name val="Century Gothic"/>
    </font>
    <font>
      <b/>
      <i/>
      <sz val="9"/>
      <name val="Century Gothic"/>
    </font>
    <font>
      <b/>
      <i/>
      <sz val="14"/>
      <color rgb="FFFFFFFF"/>
      <name val="Century Gothic"/>
    </font>
    <font>
      <b/>
      <sz val="14"/>
      <color rgb="FFFFFFFF"/>
      <name val="Century Gothic"/>
    </font>
    <font>
      <sz val="14"/>
      <name val="Arial"/>
    </font>
    <font>
      <sz val="10"/>
      <name val="Century Gothic"/>
    </font>
    <font>
      <b/>
      <i/>
      <sz val="9"/>
      <color rgb="FFFFFFFF"/>
      <name val="Century Gothic"/>
    </font>
    <font>
      <b/>
      <sz val="9"/>
      <color rgb="FFFFFFFF"/>
      <name val="Century Gothic"/>
    </font>
    <font>
      <b/>
      <sz val="10"/>
      <color rgb="FFFFFFFF"/>
      <name val="Century Gothic"/>
    </font>
    <font>
      <sz val="10"/>
      <color rgb="FF000000"/>
      <name val="Tahoma"/>
      <family val="2"/>
    </font>
    <font>
      <sz val="8"/>
      <name val="Arial"/>
    </font>
    <font>
      <b/>
      <sz val="10"/>
      <color rgb="FF000000"/>
      <name val="Tahoma"/>
      <family val="2"/>
    </font>
    <font>
      <b/>
      <sz val="24"/>
      <name val="Century Gothic"/>
      <family val="1"/>
    </font>
    <font>
      <sz val="10"/>
      <color rgb="FF000000"/>
      <name val="Arial"/>
      <family val="2"/>
    </font>
    <font>
      <b/>
      <sz val="11"/>
      <name val="Calibri"/>
      <family val="2"/>
    </font>
    <font>
      <b/>
      <sz val="14"/>
      <name val="Calibri"/>
      <family val="2"/>
    </font>
    <font>
      <b/>
      <sz val="14"/>
      <name val="Arial"/>
      <family val="2"/>
    </font>
    <font>
      <b/>
      <sz val="12"/>
      <color rgb="FFFFFFFF"/>
      <name val="Calibri"/>
      <family val="2"/>
    </font>
    <font>
      <sz val="11"/>
      <name val="Century Gothic"/>
      <family val="1"/>
    </font>
  </fonts>
  <fills count="28">
    <fill>
      <patternFill patternType="none"/>
    </fill>
    <fill>
      <patternFill patternType="gray125"/>
    </fill>
    <fill>
      <patternFill patternType="solid">
        <fgColor rgb="FFFFFFFF"/>
      </patternFill>
    </fill>
    <fill>
      <patternFill patternType="solid">
        <fgColor rgb="FFFFFF00"/>
      </patternFill>
    </fill>
    <fill>
      <patternFill patternType="solid">
        <fgColor rgb="FF8FAADC"/>
      </patternFill>
    </fill>
    <fill>
      <patternFill patternType="solid">
        <fgColor rgb="FFA9CE91"/>
      </patternFill>
    </fill>
    <fill>
      <patternFill patternType="solid">
        <fgColor rgb="FFFFD966"/>
      </patternFill>
    </fill>
    <fill>
      <patternFill patternType="solid">
        <fgColor rgb="FF8F98A6"/>
      </patternFill>
    </fill>
    <fill>
      <patternFill patternType="solid">
        <fgColor rgb="FFFFE699"/>
      </patternFill>
    </fill>
    <fill>
      <patternFill patternType="solid">
        <fgColor rgb="FFED7D31"/>
      </patternFill>
    </fill>
    <fill>
      <patternFill patternType="solid">
        <fgColor rgb="FFFBE5D6"/>
      </patternFill>
    </fill>
    <fill>
      <patternFill patternType="solid">
        <fgColor rgb="FFD9D9D9"/>
      </patternFill>
    </fill>
    <fill>
      <patternFill patternType="solid">
        <fgColor rgb="FFC5E0B4"/>
      </patternFill>
    </fill>
    <fill>
      <patternFill patternType="solid">
        <fgColor rgb="FFA5A5A5"/>
      </patternFill>
    </fill>
    <fill>
      <patternFill patternType="solid">
        <fgColor rgb="FFC55A11"/>
      </patternFill>
    </fill>
    <fill>
      <patternFill patternType="solid">
        <fgColor rgb="FF92D050"/>
      </patternFill>
    </fill>
    <fill>
      <patternFill patternType="solid">
        <fgColor rgb="FFFFC000"/>
      </patternFill>
    </fill>
    <fill>
      <patternFill patternType="solid">
        <fgColor rgb="FFB4C7E7"/>
      </patternFill>
    </fill>
    <fill>
      <patternFill patternType="solid">
        <fgColor rgb="FFE7E6E6"/>
      </patternFill>
    </fill>
    <fill>
      <patternFill patternType="solid">
        <fgColor rgb="FFF4B183"/>
      </patternFill>
    </fill>
    <fill>
      <patternFill patternType="solid">
        <fgColor rgb="FFF8CBAD"/>
      </patternFill>
    </fill>
    <fill>
      <patternFill patternType="solid">
        <fgColor rgb="FFFFF2CC"/>
      </patternFill>
    </fill>
    <fill>
      <patternFill patternType="solid">
        <fgColor rgb="FFEEEEEE"/>
      </patternFill>
    </fill>
    <fill>
      <patternFill patternType="solid">
        <fgColor rgb="FFEDEDED"/>
      </patternFill>
    </fill>
    <fill>
      <patternFill patternType="solid">
        <fgColor rgb="FFBF9000"/>
      </patternFill>
    </fill>
    <fill>
      <patternFill patternType="solid">
        <fgColor rgb="FF767171"/>
      </patternFill>
    </fill>
    <fill>
      <patternFill patternType="solid">
        <fgColor rgb="FF5B9BD5"/>
      </patternFill>
    </fill>
    <fill>
      <patternFill patternType="solid">
        <fgColor rgb="FF773F19"/>
      </patternFill>
    </fill>
  </fills>
  <borders count="6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CCCCCC"/>
      </left>
      <right style="thin">
        <color rgb="FFCCCCCC"/>
      </right>
      <top style="thin">
        <color rgb="FFCCCCCC"/>
      </top>
      <bottom/>
      <diagonal/>
    </border>
    <border>
      <left style="thin">
        <color rgb="FFCCCCCC"/>
      </left>
      <right style="dotted">
        <color rgb="FFCCCCCC"/>
      </right>
      <top style="thin">
        <color rgb="FFCCCCCC"/>
      </top>
      <bottom style="dotted">
        <color rgb="FFCCCCCC"/>
      </bottom>
      <diagonal/>
    </border>
    <border>
      <left style="dotted">
        <color rgb="FFCCCCCC"/>
      </left>
      <right style="dotted">
        <color rgb="FFCCCCCC"/>
      </right>
      <top style="thin">
        <color rgb="FFCCCCCC"/>
      </top>
      <bottom style="dotted">
        <color rgb="FFCCCCCC"/>
      </bottom>
      <diagonal/>
    </border>
    <border>
      <left style="dotted">
        <color rgb="FFCCCCCC"/>
      </left>
      <right style="dotted">
        <color rgb="FFCCCCCC"/>
      </right>
      <top style="dotted">
        <color rgb="FFCCCCCC"/>
      </top>
      <bottom style="dotted">
        <color rgb="FFCCCCCC"/>
      </bottom>
      <diagonal/>
    </border>
    <border>
      <left style="thin">
        <color rgb="FFCCCCCC"/>
      </left>
      <right style="thin">
        <color rgb="FFCCCCCC"/>
      </right>
      <top style="thin">
        <color rgb="FFCCCCCC"/>
      </top>
      <bottom style="thin">
        <color rgb="FFCCCCCC"/>
      </bottom>
      <diagonal/>
    </border>
    <border>
      <left style="dotted">
        <color rgb="FFCCCCCC"/>
      </left>
      <right style="thin">
        <color rgb="FFCCCCCC"/>
      </right>
      <top style="thin">
        <color rgb="FFCCCCCC"/>
      </top>
      <bottom style="dotted">
        <color rgb="FFCCCCCC"/>
      </bottom>
      <diagonal/>
    </border>
    <border>
      <left style="thin">
        <color rgb="FFCCCCCC"/>
      </left>
      <right style="dotted">
        <color rgb="FFCCCCCC"/>
      </right>
      <top style="dotted">
        <color rgb="FFCCCCCC"/>
      </top>
      <bottom style="dotted">
        <color rgb="FFCCCCCC"/>
      </bottom>
      <diagonal/>
    </border>
    <border>
      <left style="dotted">
        <color rgb="FFCCCCCC"/>
      </left>
      <right style="thin">
        <color rgb="FFCCCCCC"/>
      </right>
      <top style="dotted">
        <color rgb="FFCCCCCC"/>
      </top>
      <bottom style="dotted">
        <color rgb="FFCCCCCC"/>
      </bottom>
      <diagonal/>
    </border>
    <border>
      <left style="thin">
        <color rgb="FFCCCCCC"/>
      </left>
      <right style="dotted">
        <color rgb="FFCCCCCC"/>
      </right>
      <top style="dotted">
        <color rgb="FFCCCCCC"/>
      </top>
      <bottom style="thin">
        <color rgb="FFCCCCCC"/>
      </bottom>
      <diagonal/>
    </border>
    <border>
      <left style="dotted">
        <color rgb="FFCCCCCC"/>
      </left>
      <right style="dotted">
        <color rgb="FFCCCCCC"/>
      </right>
      <top style="dotted">
        <color rgb="FFCCCCCC"/>
      </top>
      <bottom style="thin">
        <color rgb="FFCCCCCC"/>
      </bottom>
      <diagonal/>
    </border>
    <border>
      <left style="dotted">
        <color rgb="FFCCCCCC"/>
      </left>
      <right style="thin">
        <color rgb="FFCCCCCC"/>
      </right>
      <top style="dotted">
        <color rgb="FFCCCCCC"/>
      </top>
      <bottom style="thin">
        <color rgb="FFCCCCCC"/>
      </bottom>
      <diagonal/>
    </border>
    <border>
      <left style="thin">
        <color rgb="FF000000"/>
      </left>
      <right/>
      <top style="thin">
        <color rgb="FF000000"/>
      </top>
      <bottom/>
      <diagonal/>
    </border>
    <border>
      <left/>
      <right style="thin">
        <color rgb="FF000000"/>
      </right>
      <top style="thin">
        <color rgb="FF000000"/>
      </top>
      <bottom/>
      <diagonal/>
    </border>
    <border>
      <left style="dotted">
        <color rgb="FF000000"/>
      </left>
      <right style="thin">
        <color rgb="FF000000"/>
      </right>
      <top style="thin">
        <color rgb="FF000000"/>
      </top>
      <bottom/>
      <diagonal/>
    </border>
    <border>
      <left/>
      <right/>
      <top style="thin">
        <color rgb="FF8FAADC"/>
      </top>
      <bottom style="thin">
        <color rgb="FF8FAADC"/>
      </bottom>
      <diagonal/>
    </border>
    <border>
      <left style="thin">
        <color rgb="FF000000"/>
      </left>
      <right/>
      <top/>
      <bottom/>
      <diagonal/>
    </border>
    <border>
      <left style="dotted">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style="dotted">
        <color rgb="FF000000"/>
      </right>
      <top style="thin">
        <color rgb="FF000000"/>
      </top>
      <bottom style="dotted">
        <color rgb="FF000000"/>
      </bottom>
      <diagonal/>
    </border>
    <border>
      <left style="dotted">
        <color rgb="FF000000"/>
      </left>
      <right style="dotted">
        <color rgb="FF000000"/>
      </right>
      <top style="thin">
        <color rgb="FF000000"/>
      </top>
      <bottom style="dotted">
        <color rgb="FF000000"/>
      </bottom>
      <diagonal/>
    </border>
    <border>
      <left style="thin">
        <color rgb="FF000000"/>
      </left>
      <right style="thin">
        <color rgb="FF000000"/>
      </right>
      <top style="thin">
        <color rgb="FF000000"/>
      </top>
      <bottom style="dotted">
        <color rgb="FF000000"/>
      </bottom>
      <diagonal/>
    </border>
    <border>
      <left style="thin">
        <color rgb="FF000000"/>
      </left>
      <right style="dotted">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thin">
        <color rgb="FF000000"/>
      </left>
      <right style="dotted">
        <color rgb="FF000000"/>
      </right>
      <top style="dotted">
        <color rgb="FF000000"/>
      </top>
      <bottom style="thin">
        <color rgb="FF000000"/>
      </bottom>
      <diagonal/>
    </border>
    <border>
      <left style="dotted">
        <color rgb="FF000000"/>
      </left>
      <right style="dotted">
        <color rgb="FF000000"/>
      </right>
      <top style="dotted">
        <color rgb="FF000000"/>
      </top>
      <bottom style="thin">
        <color rgb="FF000000"/>
      </bottom>
      <diagonal/>
    </border>
    <border>
      <left style="dotted">
        <color rgb="FF000000"/>
      </left>
      <right style="thin">
        <color rgb="FF000000"/>
      </right>
      <top style="dotted">
        <color rgb="FF000000"/>
      </top>
      <bottom style="thin">
        <color rgb="FF000000"/>
      </bottom>
      <diagonal/>
    </border>
    <border>
      <left style="thin">
        <color rgb="FF000000"/>
      </left>
      <right style="thin">
        <color rgb="FF000000"/>
      </right>
      <top style="dotted">
        <color rgb="FF000000"/>
      </top>
      <bottom style="thin">
        <color rgb="FF000000"/>
      </bottom>
      <diagonal/>
    </border>
    <border>
      <left style="thin">
        <color rgb="FF000000"/>
      </left>
      <right style="dotted">
        <color rgb="FF000000"/>
      </right>
      <top style="thin">
        <color rgb="FF000000"/>
      </top>
      <bottom/>
      <diagonal/>
    </border>
    <border>
      <left style="dotted">
        <color rgb="FF000000"/>
      </left>
      <right style="dotted">
        <color rgb="FF000000"/>
      </right>
      <top style="thin">
        <color rgb="FF000000"/>
      </top>
      <bottom/>
      <diagonal/>
    </border>
    <border>
      <left/>
      <right style="dotted">
        <color rgb="FF000000"/>
      </right>
      <top style="thin">
        <color rgb="FF000000"/>
      </top>
      <bottom style="dotted">
        <color rgb="FF000000"/>
      </bottom>
      <diagonal/>
    </border>
    <border>
      <left/>
      <right style="thin">
        <color rgb="FF000000"/>
      </right>
      <top style="thin">
        <color rgb="FF000000"/>
      </top>
      <bottom style="dotted">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right style="dotted">
        <color rgb="FF000000"/>
      </right>
      <top style="dotted">
        <color rgb="FF000000"/>
      </top>
      <bottom style="dotted">
        <color rgb="FF000000"/>
      </bottom>
      <diagonal/>
    </border>
    <border>
      <left/>
      <right style="thin">
        <color rgb="FF000000"/>
      </right>
      <top style="dotted">
        <color rgb="FF000000"/>
      </top>
      <bottom style="dotted">
        <color rgb="FF000000"/>
      </bottom>
      <diagonal/>
    </border>
    <border>
      <left style="dotted">
        <color rgb="FF000000"/>
      </left>
      <right style="thin">
        <color rgb="FF000000"/>
      </right>
      <top style="dotted">
        <color rgb="FF000000"/>
      </top>
      <bottom style="dotted">
        <color rgb="FF000000"/>
      </bottom>
      <diagonal/>
    </border>
    <border>
      <left style="dotted">
        <color rgb="FF000000"/>
      </left>
      <right/>
      <top style="dotted">
        <color rgb="FF000000"/>
      </top>
      <bottom style="dotted">
        <color rgb="FF000000"/>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top style="dotted">
        <color rgb="FF000000"/>
      </top>
      <bottom style="thin">
        <color rgb="FF000000"/>
      </bottom>
      <diagonal/>
    </border>
    <border>
      <left style="dotted">
        <color rgb="FF000000"/>
      </left>
      <right/>
      <top style="thin">
        <color rgb="FF000000"/>
      </top>
      <bottom style="dotted">
        <color rgb="FF000000"/>
      </bottom>
      <diagonal/>
    </border>
    <border>
      <left style="thin">
        <color rgb="FF000000"/>
      </left>
      <right/>
      <top style="dotted">
        <color rgb="FF000000"/>
      </top>
      <bottom style="dotted">
        <color rgb="FF000000"/>
      </bottom>
      <diagonal/>
    </border>
    <border>
      <left/>
      <right style="dotted">
        <color rgb="FF000000"/>
      </right>
      <top style="dotted">
        <color rgb="FF000000"/>
      </top>
      <bottom style="thin">
        <color rgb="FF000000"/>
      </bottom>
      <diagonal/>
    </border>
    <border>
      <left style="thin">
        <color rgb="FF000000"/>
      </left>
      <right/>
      <top style="dotted">
        <color rgb="FF000000"/>
      </top>
      <bottom style="thin">
        <color rgb="FF000000"/>
      </bottom>
      <diagonal/>
    </border>
    <border>
      <left style="dotted">
        <color rgb="FF000000"/>
      </left>
      <right style="thin">
        <color rgb="FF000000"/>
      </right>
      <top style="thin">
        <color rgb="FF000000"/>
      </top>
      <bottom style="dotted">
        <color rgb="FF000000"/>
      </bottom>
      <diagonal/>
    </border>
    <border>
      <left style="dotted">
        <color rgb="FF000000"/>
      </left>
      <right style="thin">
        <color rgb="FF000000"/>
      </right>
      <top/>
      <bottom style="thin">
        <color rgb="FF000000"/>
      </bottom>
      <diagonal/>
    </border>
    <border>
      <left style="thin">
        <color rgb="FF000000"/>
      </left>
      <right style="thin">
        <color rgb="FF000000"/>
      </right>
      <top style="dotted">
        <color rgb="FF000000"/>
      </top>
      <bottom/>
      <diagonal/>
    </border>
    <border>
      <left/>
      <right style="dotted">
        <color rgb="FF000000"/>
      </right>
      <top style="dotted">
        <color rgb="FF000000"/>
      </top>
      <bottom/>
      <diagonal/>
    </border>
    <border>
      <left style="dotted">
        <color rgb="FF000000"/>
      </left>
      <right style="dotted">
        <color rgb="FF000000"/>
      </right>
      <top style="dotted">
        <color rgb="FF000000"/>
      </top>
      <bottom/>
      <diagonal/>
    </border>
    <border>
      <left style="dotted">
        <color rgb="FF000000"/>
      </left>
      <right/>
      <top style="dotted">
        <color rgb="FF000000"/>
      </top>
      <bottom/>
      <diagonal/>
    </border>
    <border>
      <left style="thin">
        <color rgb="FF000000"/>
      </left>
      <right/>
      <top style="thin">
        <color rgb="FF000000"/>
      </top>
      <bottom style="dotted">
        <color rgb="FF000000"/>
      </bottom>
      <diagonal/>
    </border>
  </borders>
  <cellStyleXfs count="2">
    <xf numFmtId="0" fontId="0" fillId="0" borderId="0"/>
    <xf numFmtId="9" fontId="13" fillId="0" borderId="0" applyFont="0" applyFill="0" applyBorder="0" applyAlignment="0" applyProtection="0"/>
  </cellStyleXfs>
  <cellXfs count="468">
    <xf numFmtId="0" fontId="0" fillId="0" borderId="0" xfId="0"/>
    <xf numFmtId="0" fontId="1" fillId="0" borderId="0" xfId="0" applyFont="1"/>
    <xf numFmtId="0" fontId="2" fillId="0" borderId="0" xfId="0" applyFont="1"/>
    <xf numFmtId="0" fontId="3" fillId="2" borderId="0" xfId="0" applyFont="1" applyFill="1"/>
    <xf numFmtId="0" fontId="5" fillId="2"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2" borderId="0" xfId="0" applyFont="1" applyFill="1" applyAlignment="1">
      <alignment horizontal="center" vertical="center" wrapText="1"/>
    </xf>
    <xf numFmtId="17" fontId="5" fillId="6" borderId="1" xfId="0" applyNumberFormat="1" applyFont="1" applyFill="1" applyBorder="1" applyAlignment="1">
      <alignment horizontal="center" vertical="center" wrapText="1"/>
    </xf>
    <xf numFmtId="17" fontId="3" fillId="5" borderId="1" xfId="0" applyNumberFormat="1" applyFont="1" applyFill="1" applyBorder="1" applyAlignment="1">
      <alignment horizontal="center" vertical="center"/>
    </xf>
    <xf numFmtId="17" fontId="6" fillId="7" borderId="1" xfId="0" applyNumberFormat="1" applyFont="1" applyFill="1" applyBorder="1" applyAlignment="1">
      <alignment horizontal="center" vertical="center"/>
    </xf>
    <xf numFmtId="17" fontId="6" fillId="8" borderId="1" xfId="0" applyNumberFormat="1" applyFont="1" applyFill="1" applyBorder="1" applyAlignment="1">
      <alignment horizontal="center" vertical="center"/>
    </xf>
    <xf numFmtId="0" fontId="0" fillId="2" borderId="4" xfId="0" applyFill="1" applyBorder="1" applyAlignment="1">
      <alignment vertical="center" wrapText="1"/>
    </xf>
    <xf numFmtId="0" fontId="3" fillId="0" borderId="5" xfId="0" applyFont="1" applyBorder="1"/>
    <xf numFmtId="169" fontId="0" fillId="2" borderId="5" xfId="0" applyNumberFormat="1" applyFill="1" applyBorder="1" applyAlignment="1">
      <alignment horizontal="right" vertical="center" wrapText="1"/>
    </xf>
    <xf numFmtId="0" fontId="3" fillId="2" borderId="5" xfId="0" applyFont="1" applyFill="1" applyBorder="1"/>
    <xf numFmtId="170" fontId="3" fillId="2" borderId="5" xfId="0" applyNumberFormat="1" applyFont="1" applyFill="1" applyBorder="1"/>
    <xf numFmtId="170" fontId="3" fillId="2" borderId="6" xfId="0" applyNumberFormat="1" applyFont="1" applyFill="1" applyBorder="1"/>
    <xf numFmtId="171" fontId="0" fillId="2" borderId="7" xfId="0" applyNumberFormat="1" applyFill="1" applyBorder="1" applyAlignment="1">
      <alignment horizontal="right" vertical="center" wrapText="1"/>
    </xf>
    <xf numFmtId="170" fontId="3" fillId="2" borderId="8" xfId="0" applyNumberFormat="1" applyFont="1" applyFill="1" applyBorder="1"/>
    <xf numFmtId="170" fontId="3" fillId="2" borderId="0" xfId="0" applyNumberFormat="1" applyFont="1" applyFill="1"/>
    <xf numFmtId="0" fontId="0" fillId="2" borderId="9" xfId="0" applyFill="1" applyBorder="1" applyAlignment="1">
      <alignment vertical="center" wrapText="1"/>
    </xf>
    <xf numFmtId="0" fontId="0" fillId="2" borderId="6" xfId="0" applyFill="1" applyBorder="1" applyAlignment="1">
      <alignment vertical="center" wrapText="1"/>
    </xf>
    <xf numFmtId="169" fontId="0" fillId="2" borderId="6" xfId="0" applyNumberFormat="1" applyFill="1" applyBorder="1" applyAlignment="1">
      <alignment horizontal="right" vertical="center" wrapText="1"/>
    </xf>
    <xf numFmtId="0" fontId="3" fillId="2" borderId="6" xfId="0" applyFont="1" applyFill="1" applyBorder="1"/>
    <xf numFmtId="170" fontId="3" fillId="2" borderId="10" xfId="0" applyNumberFormat="1" applyFont="1" applyFill="1" applyBorder="1"/>
    <xf numFmtId="0" fontId="3" fillId="0" borderId="6" xfId="0" applyFont="1" applyBorder="1"/>
    <xf numFmtId="0" fontId="0" fillId="2" borderId="7" xfId="0" applyFill="1" applyBorder="1" applyAlignment="1">
      <alignment vertical="center" wrapText="1"/>
    </xf>
    <xf numFmtId="0" fontId="0" fillId="2" borderId="11" xfId="0" applyFill="1" applyBorder="1" applyAlignment="1">
      <alignment vertical="center" wrapText="1"/>
    </xf>
    <xf numFmtId="0" fontId="3" fillId="0" borderId="12" xfId="0" applyFont="1" applyBorder="1"/>
    <xf numFmtId="169" fontId="0" fillId="2" borderId="12" xfId="0" applyNumberFormat="1" applyFill="1" applyBorder="1" applyAlignment="1">
      <alignment horizontal="right" vertical="center" wrapText="1"/>
    </xf>
    <xf numFmtId="0" fontId="3" fillId="2" borderId="12" xfId="0" applyFont="1" applyFill="1" applyBorder="1"/>
    <xf numFmtId="170" fontId="3" fillId="2" borderId="12" xfId="0" applyNumberFormat="1" applyFont="1" applyFill="1" applyBorder="1"/>
    <xf numFmtId="170" fontId="3" fillId="2" borderId="13" xfId="0" applyNumberFormat="1" applyFont="1" applyFill="1" applyBorder="1"/>
    <xf numFmtId="0" fontId="2" fillId="10" borderId="1" xfId="0" applyFont="1" applyFill="1" applyBorder="1" applyAlignment="1">
      <alignment wrapText="1"/>
    </xf>
    <xf numFmtId="0" fontId="2" fillId="0" borderId="1" xfId="0" applyFont="1" applyBorder="1" applyAlignment="1">
      <alignment wrapText="1"/>
    </xf>
    <xf numFmtId="0" fontId="0" fillId="11" borderId="0" xfId="0" applyFill="1"/>
    <xf numFmtId="0" fontId="8" fillId="0" borderId="0" xfId="0" applyFont="1" applyAlignment="1">
      <alignment horizontal="left"/>
    </xf>
    <xf numFmtId="175" fontId="10" fillId="12" borderId="0" xfId="0" applyNumberFormat="1" applyFont="1" applyFill="1"/>
    <xf numFmtId="176" fontId="9" fillId="3" borderId="0" xfId="0" applyNumberFormat="1" applyFont="1" applyFill="1"/>
    <xf numFmtId="0" fontId="4" fillId="0" borderId="0" xfId="0" applyFont="1" applyAlignment="1">
      <alignment horizontal="left"/>
    </xf>
    <xf numFmtId="17" fontId="11" fillId="13" borderId="17" xfId="0" applyNumberFormat="1" applyFont="1" applyFill="1" applyBorder="1" applyAlignment="1">
      <alignment horizontal="center" wrapText="1"/>
    </xf>
    <xf numFmtId="17" fontId="11" fillId="11" borderId="17" xfId="0" applyNumberFormat="1" applyFont="1" applyFill="1" applyBorder="1" applyAlignment="1">
      <alignment horizontal="center" wrapText="1"/>
    </xf>
    <xf numFmtId="177" fontId="0" fillId="0" borderId="0" xfId="0" applyNumberFormat="1"/>
    <xf numFmtId="167" fontId="3" fillId="0" borderId="0" xfId="0" applyNumberFormat="1" applyFont="1"/>
    <xf numFmtId="0" fontId="5" fillId="0" borderId="0" xfId="0" applyFont="1"/>
    <xf numFmtId="0" fontId="12" fillId="14" borderId="0" xfId="0" applyFont="1" applyFill="1" applyAlignment="1">
      <alignment horizontal="left"/>
    </xf>
    <xf numFmtId="173" fontId="7" fillId="14" borderId="17" xfId="0" applyNumberFormat="1" applyFont="1" applyFill="1" applyBorder="1"/>
    <xf numFmtId="173" fontId="7" fillId="14" borderId="0" xfId="0" applyNumberFormat="1" applyFont="1" applyFill="1"/>
    <xf numFmtId="0" fontId="4" fillId="15" borderId="0" xfId="0" applyFont="1" applyFill="1" applyAlignment="1">
      <alignment horizontal="left"/>
    </xf>
    <xf numFmtId="173" fontId="7" fillId="15" borderId="17" xfId="0" applyNumberFormat="1" applyFont="1" applyFill="1" applyBorder="1"/>
    <xf numFmtId="173" fontId="7" fillId="15" borderId="0" xfId="0" applyNumberFormat="1" applyFont="1" applyFill="1"/>
    <xf numFmtId="0" fontId="0" fillId="15" borderId="0" xfId="0" applyFill="1"/>
    <xf numFmtId="0" fontId="14" fillId="14" borderId="0" xfId="0" applyFont="1" applyFill="1" applyAlignment="1">
      <alignment horizontal="left"/>
    </xf>
    <xf numFmtId="0" fontId="15" fillId="14" borderId="0" xfId="0" applyFont="1" applyFill="1"/>
    <xf numFmtId="167" fontId="3" fillId="11" borderId="0" xfId="0" applyNumberFormat="1" applyFont="1" applyFill="1"/>
    <xf numFmtId="179" fontId="3" fillId="16" borderId="0" xfId="0" applyNumberFormat="1" applyFont="1" applyFill="1"/>
    <xf numFmtId="0" fontId="16" fillId="16" borderId="0" xfId="0" applyFont="1" applyFill="1"/>
    <xf numFmtId="176" fontId="3" fillId="16" borderId="0" xfId="0" applyNumberFormat="1" applyFont="1" applyFill="1"/>
    <xf numFmtId="0" fontId="16" fillId="0" borderId="0" xfId="0" applyFont="1"/>
    <xf numFmtId="179" fontId="14" fillId="0" borderId="0" xfId="0" applyNumberFormat="1" applyFont="1" applyAlignment="1">
      <alignment horizontal="left"/>
    </xf>
    <xf numFmtId="180" fontId="17" fillId="0" borderId="0" xfId="0" applyNumberFormat="1" applyFont="1"/>
    <xf numFmtId="179" fontId="16" fillId="11" borderId="0" xfId="0" applyNumberFormat="1" applyFont="1" applyFill="1"/>
    <xf numFmtId="179" fontId="3" fillId="0" borderId="0" xfId="0" applyNumberFormat="1" applyFont="1"/>
    <xf numFmtId="179" fontId="3" fillId="11" borderId="0" xfId="0" applyNumberFormat="1" applyFont="1" applyFill="1"/>
    <xf numFmtId="179" fontId="4" fillId="0" borderId="0" xfId="0" applyNumberFormat="1" applyFont="1" applyAlignment="1">
      <alignment horizontal="left"/>
    </xf>
    <xf numFmtId="179" fontId="3" fillId="17" borderId="0" xfId="0" applyNumberFormat="1" applyFont="1" applyFill="1"/>
    <xf numFmtId="0" fontId="0" fillId="2" borderId="0" xfId="0" applyFill="1"/>
    <xf numFmtId="0" fontId="18" fillId="2" borderId="0" xfId="0" applyFont="1" applyFill="1" applyAlignment="1">
      <alignment horizontal="right" wrapText="1"/>
    </xf>
    <xf numFmtId="178" fontId="2" fillId="0" borderId="0" xfId="0" applyNumberFormat="1" applyFont="1"/>
    <xf numFmtId="176" fontId="2" fillId="0" borderId="0" xfId="0" applyNumberFormat="1" applyFont="1"/>
    <xf numFmtId="0" fontId="19" fillId="0" borderId="0" xfId="0" applyFont="1"/>
    <xf numFmtId="0" fontId="2" fillId="0" borderId="0" xfId="0" applyFont="1" applyAlignment="1">
      <alignment horizontal="center" wrapText="1"/>
    </xf>
    <xf numFmtId="17" fontId="2" fillId="0" borderId="0" xfId="0" applyNumberFormat="1" applyFont="1"/>
    <xf numFmtId="182" fontId="2" fillId="0" borderId="0" xfId="0" applyNumberFormat="1" applyFont="1"/>
    <xf numFmtId="177" fontId="2" fillId="0" borderId="0" xfId="0" applyNumberFormat="1" applyFont="1"/>
    <xf numFmtId="173" fontId="2" fillId="0" borderId="0" xfId="0" applyNumberFormat="1" applyFont="1"/>
    <xf numFmtId="178" fontId="19" fillId="0" borderId="0" xfId="0" applyNumberFormat="1" applyFont="1"/>
    <xf numFmtId="178" fontId="2" fillId="0" borderId="28" xfId="0" applyNumberFormat="1" applyFont="1" applyBorder="1"/>
    <xf numFmtId="178" fontId="0" fillId="0" borderId="0" xfId="0" applyNumberFormat="1"/>
    <xf numFmtId="0" fontId="2" fillId="2" borderId="0" xfId="0" applyFont="1" applyFill="1"/>
    <xf numFmtId="167" fontId="2" fillId="0" borderId="0" xfId="0" applyNumberFormat="1" applyFont="1"/>
    <xf numFmtId="0" fontId="2" fillId="13" borderId="0" xfId="0" applyFont="1" applyFill="1"/>
    <xf numFmtId="167" fontId="2" fillId="13" borderId="0" xfId="0" applyNumberFormat="1" applyFont="1" applyFill="1"/>
    <xf numFmtId="173" fontId="2" fillId="13" borderId="0" xfId="0" applyNumberFormat="1" applyFont="1" applyFill="1"/>
    <xf numFmtId="178" fontId="19" fillId="13" borderId="0" xfId="0" applyNumberFormat="1" applyFont="1" applyFill="1"/>
    <xf numFmtId="0" fontId="11" fillId="13" borderId="0" xfId="0" applyFont="1" applyFill="1"/>
    <xf numFmtId="0" fontId="7" fillId="16" borderId="0" xfId="0" applyFont="1" applyFill="1"/>
    <xf numFmtId="173" fontId="7" fillId="16" borderId="0" xfId="0" applyNumberFormat="1" applyFont="1" applyFill="1"/>
    <xf numFmtId="176" fontId="7" fillId="16" borderId="0" xfId="0" applyNumberFormat="1" applyFont="1" applyFill="1"/>
    <xf numFmtId="172" fontId="2" fillId="0" borderId="0" xfId="0" applyNumberFormat="1" applyFont="1"/>
    <xf numFmtId="0" fontId="2" fillId="0" borderId="1" xfId="0" applyFont="1" applyBorder="1"/>
    <xf numFmtId="0" fontId="2" fillId="0" borderId="1" xfId="0" applyFont="1" applyBorder="1" applyAlignment="1">
      <alignment horizontal="center" wrapText="1"/>
    </xf>
    <xf numFmtId="0" fontId="2" fillId="0" borderId="20" xfId="0" applyFont="1" applyBorder="1" applyAlignment="1">
      <alignment horizontal="center" wrapText="1"/>
    </xf>
    <xf numFmtId="178" fontId="2" fillId="0" borderId="1" xfId="0" applyNumberFormat="1" applyFont="1" applyBorder="1"/>
    <xf numFmtId="17" fontId="2" fillId="0" borderId="1" xfId="0" applyNumberFormat="1" applyFont="1" applyBorder="1"/>
    <xf numFmtId="0" fontId="2" fillId="19" borderId="0" xfId="0" applyFont="1" applyFill="1"/>
    <xf numFmtId="173" fontId="2" fillId="0" borderId="0" xfId="0" applyNumberFormat="1" applyFont="1" applyAlignment="1">
      <alignment wrapText="1"/>
    </xf>
    <xf numFmtId="178" fontId="2" fillId="17" borderId="0" xfId="0" applyNumberFormat="1" applyFont="1" applyFill="1"/>
    <xf numFmtId="173" fontId="21" fillId="16" borderId="1" xfId="0" applyNumberFormat="1" applyFont="1" applyFill="1" applyBorder="1"/>
    <xf numFmtId="178" fontId="7" fillId="16" borderId="0" xfId="0" applyNumberFormat="1" applyFont="1" applyFill="1"/>
    <xf numFmtId="0" fontId="3" fillId="23" borderId="0" xfId="0" applyFont="1" applyFill="1"/>
    <xf numFmtId="178" fontId="0" fillId="2" borderId="0" xfId="0" applyNumberFormat="1" applyFill="1"/>
    <xf numFmtId="0" fontId="3" fillId="10" borderId="0" xfId="0" applyFont="1" applyFill="1"/>
    <xf numFmtId="0" fontId="3" fillId="8" borderId="0" xfId="0" applyFont="1" applyFill="1"/>
    <xf numFmtId="0" fontId="3" fillId="6" borderId="0" xfId="0" applyFont="1" applyFill="1"/>
    <xf numFmtId="192" fontId="1" fillId="10" borderId="0" xfId="0" applyNumberFormat="1" applyFont="1" applyFill="1" applyAlignment="1">
      <alignment horizontal="right" vertical="top" wrapText="1"/>
    </xf>
    <xf numFmtId="0" fontId="3" fillId="24" borderId="0" xfId="0" applyFont="1" applyFill="1"/>
    <xf numFmtId="0" fontId="22" fillId="2" borderId="0" xfId="0" applyFont="1" applyFill="1"/>
    <xf numFmtId="0" fontId="3" fillId="2" borderId="0" xfId="0" applyFont="1" applyFill="1" applyAlignment="1">
      <alignment wrapText="1"/>
    </xf>
    <xf numFmtId="17" fontId="0" fillId="2" borderId="0" xfId="0" applyNumberFormat="1" applyFill="1"/>
    <xf numFmtId="192" fontId="1" fillId="23" borderId="0" xfId="0" applyNumberFormat="1" applyFont="1" applyFill="1" applyAlignment="1">
      <alignment horizontal="right" vertical="top" wrapText="1"/>
    </xf>
    <xf numFmtId="178" fontId="1" fillId="23" borderId="0" xfId="0" applyNumberFormat="1" applyFont="1" applyFill="1" applyAlignment="1">
      <alignment horizontal="right" vertical="top" wrapText="1"/>
    </xf>
    <xf numFmtId="178" fontId="19" fillId="23" borderId="0" xfId="0" applyNumberFormat="1" applyFont="1" applyFill="1" applyAlignment="1">
      <alignment horizontal="right" vertical="top" wrapText="1"/>
    </xf>
    <xf numFmtId="0" fontId="26" fillId="0" borderId="0" xfId="0" applyFont="1"/>
    <xf numFmtId="178" fontId="19" fillId="21" borderId="22" xfId="0" applyNumberFormat="1" applyFont="1" applyFill="1" applyBorder="1" applyAlignment="1">
      <alignment horizontal="right" vertical="top" wrapText="1"/>
    </xf>
    <xf numFmtId="178" fontId="0" fillId="25" borderId="21" xfId="0" applyNumberFormat="1" applyFill="1" applyBorder="1"/>
    <xf numFmtId="192" fontId="1" fillId="21" borderId="22" xfId="0" applyNumberFormat="1" applyFont="1" applyFill="1" applyBorder="1" applyAlignment="1">
      <alignment horizontal="right" vertical="top" wrapText="1"/>
    </xf>
    <xf numFmtId="178" fontId="19" fillId="2" borderId="0" xfId="0" applyNumberFormat="1" applyFont="1" applyFill="1"/>
    <xf numFmtId="192" fontId="19" fillId="21" borderId="21" xfId="0" applyNumberFormat="1" applyFont="1" applyFill="1" applyBorder="1" applyAlignment="1">
      <alignment horizontal="right" vertical="top" wrapText="1"/>
    </xf>
    <xf numFmtId="178" fontId="19" fillId="21" borderId="21" xfId="0" applyNumberFormat="1" applyFont="1" applyFill="1" applyBorder="1" applyAlignment="1">
      <alignment horizontal="right" vertical="top" wrapText="1"/>
    </xf>
    <xf numFmtId="192" fontId="1" fillId="21" borderId="21" xfId="0" applyNumberFormat="1" applyFont="1" applyFill="1" applyBorder="1" applyAlignment="1">
      <alignment horizontal="right" vertical="top" wrapText="1"/>
    </xf>
    <xf numFmtId="192" fontId="20" fillId="6" borderId="0" xfId="0" applyNumberFormat="1" applyFont="1" applyFill="1" applyAlignment="1">
      <alignment horizontal="right" vertical="top" wrapText="1"/>
    </xf>
    <xf numFmtId="178" fontId="20" fillId="6" borderId="0" xfId="0" applyNumberFormat="1" applyFont="1" applyFill="1" applyAlignment="1">
      <alignment horizontal="right" vertical="top" wrapText="1"/>
    </xf>
    <xf numFmtId="0" fontId="29" fillId="25" borderId="21" xfId="0" applyFont="1" applyFill="1" applyBorder="1" applyAlignment="1">
      <alignment horizontal="left" vertical="top" wrapText="1"/>
    </xf>
    <xf numFmtId="192" fontId="28" fillId="25" borderId="21" xfId="0" applyNumberFormat="1" applyFont="1" applyFill="1" applyBorder="1" applyAlignment="1">
      <alignment horizontal="right" vertical="top" wrapText="1"/>
    </xf>
    <xf numFmtId="178" fontId="28" fillId="25" borderId="21" xfId="0" applyNumberFormat="1" applyFont="1" applyFill="1" applyBorder="1" applyAlignment="1">
      <alignment horizontal="right" vertical="top" wrapText="1"/>
    </xf>
    <xf numFmtId="0" fontId="1" fillId="10" borderId="18" xfId="0" applyFont="1" applyFill="1" applyBorder="1" applyAlignment="1">
      <alignment horizontal="left" vertical="top" wrapText="1"/>
    </xf>
    <xf numFmtId="0" fontId="1" fillId="10" borderId="0" xfId="0" applyFont="1" applyFill="1" applyAlignment="1">
      <alignment horizontal="left" vertical="top" wrapText="1"/>
    </xf>
    <xf numFmtId="178" fontId="19" fillId="10" borderId="0" xfId="0" applyNumberFormat="1" applyFont="1" applyFill="1" applyAlignment="1">
      <alignment horizontal="right" vertical="top" wrapText="1"/>
    </xf>
    <xf numFmtId="178" fontId="0" fillId="18" borderId="20" xfId="0" applyNumberFormat="1" applyFill="1" applyBorder="1"/>
    <xf numFmtId="178" fontId="0" fillId="18" borderId="21" xfId="0" applyNumberFormat="1" applyFill="1" applyBorder="1"/>
    <xf numFmtId="178" fontId="4" fillId="18" borderId="23" xfId="0" applyNumberFormat="1" applyFont="1" applyFill="1" applyBorder="1"/>
    <xf numFmtId="178" fontId="4" fillId="2" borderId="29" xfId="0" applyNumberFormat="1" applyFont="1" applyFill="1" applyBorder="1"/>
    <xf numFmtId="178" fontId="4" fillId="10" borderId="29" xfId="0" applyNumberFormat="1" applyFont="1" applyFill="1" applyBorder="1"/>
    <xf numFmtId="192" fontId="20" fillId="6" borderId="21" xfId="0" applyNumberFormat="1" applyFont="1" applyFill="1" applyBorder="1" applyAlignment="1">
      <alignment horizontal="right" vertical="top" wrapText="1"/>
    </xf>
    <xf numFmtId="178" fontId="20" fillId="6" borderId="23" xfId="0" applyNumberFormat="1" applyFont="1" applyFill="1" applyBorder="1" applyAlignment="1">
      <alignment horizontal="right" vertical="top" wrapText="1"/>
    </xf>
    <xf numFmtId="178" fontId="19" fillId="25" borderId="23" xfId="0" applyNumberFormat="1" applyFont="1" applyFill="1" applyBorder="1"/>
    <xf numFmtId="192" fontId="1" fillId="25" borderId="0" xfId="0" applyNumberFormat="1" applyFont="1" applyFill="1" applyAlignment="1">
      <alignment horizontal="right" vertical="top" wrapText="1"/>
    </xf>
    <xf numFmtId="178" fontId="4" fillId="25" borderId="29" xfId="0" applyNumberFormat="1" applyFont="1" applyFill="1" applyBorder="1"/>
    <xf numFmtId="192" fontId="32" fillId="24" borderId="21" xfId="0" applyNumberFormat="1" applyFont="1" applyFill="1" applyBorder="1"/>
    <xf numFmtId="178" fontId="32" fillId="24" borderId="23" xfId="0" applyNumberFormat="1" applyFont="1" applyFill="1" applyBorder="1"/>
    <xf numFmtId="0" fontId="33" fillId="0" borderId="0" xfId="0" applyFont="1"/>
    <xf numFmtId="4" fontId="0" fillId="0" borderId="0" xfId="0" applyNumberFormat="1"/>
    <xf numFmtId="193" fontId="2" fillId="0" borderId="0" xfId="0" applyNumberFormat="1" applyFont="1"/>
    <xf numFmtId="17" fontId="23" fillId="0" borderId="0" xfId="0" applyNumberFormat="1" applyFont="1" applyAlignment="1">
      <alignment horizontal="center" vertical="top" wrapText="1"/>
    </xf>
    <xf numFmtId="0" fontId="2" fillId="0" borderId="27" xfId="0" applyFont="1" applyBorder="1"/>
    <xf numFmtId="17" fontId="23" fillId="10" borderId="0" xfId="0" applyNumberFormat="1" applyFont="1" applyFill="1" applyAlignment="1">
      <alignment horizontal="center" vertical="top" wrapText="1"/>
    </xf>
    <xf numFmtId="17" fontId="1" fillId="0" borderId="21" xfId="0" applyNumberFormat="1" applyFont="1" applyBorder="1" applyAlignment="1">
      <alignment horizontal="center" vertical="top" wrapText="1"/>
    </xf>
    <xf numFmtId="0" fontId="2" fillId="0" borderId="21" xfId="0" applyFont="1" applyBorder="1"/>
    <xf numFmtId="0" fontId="2" fillId="0" borderId="22" xfId="0" applyFont="1" applyBorder="1"/>
    <xf numFmtId="0" fontId="1" fillId="17" borderId="28" xfId="0" applyFont="1" applyFill="1" applyBorder="1" applyAlignment="1">
      <alignment horizontal="left"/>
    </xf>
    <xf numFmtId="173" fontId="1" fillId="17" borderId="0" xfId="0" applyNumberFormat="1" applyFont="1" applyFill="1" applyAlignment="1">
      <alignment horizontal="center" vertical="top" wrapText="1"/>
    </xf>
    <xf numFmtId="0" fontId="2" fillId="17" borderId="28" xfId="0" applyFont="1" applyFill="1" applyBorder="1"/>
    <xf numFmtId="173" fontId="1" fillId="17" borderId="27" xfId="0" applyNumberFormat="1" applyFont="1" applyFill="1" applyBorder="1" applyAlignment="1">
      <alignment horizontal="center" vertical="top" wrapText="1"/>
    </xf>
    <xf numFmtId="178" fontId="2" fillId="17" borderId="30" xfId="0" applyNumberFormat="1" applyFont="1" applyFill="1" applyBorder="1"/>
    <xf numFmtId="178" fontId="2" fillId="17" borderId="31" xfId="0" applyNumberFormat="1" applyFont="1" applyFill="1" applyBorder="1"/>
    <xf numFmtId="173" fontId="2" fillId="17" borderId="32" xfId="0" applyNumberFormat="1" applyFont="1" applyFill="1" applyBorder="1"/>
    <xf numFmtId="0" fontId="1" fillId="2" borderId="28" xfId="0" applyFont="1" applyFill="1" applyBorder="1" applyAlignment="1">
      <alignment horizontal="left"/>
    </xf>
    <xf numFmtId="173" fontId="1" fillId="2" borderId="0" xfId="0" applyNumberFormat="1" applyFont="1" applyFill="1" applyAlignment="1">
      <alignment horizontal="center" vertical="top" wrapText="1"/>
    </xf>
    <xf numFmtId="0" fontId="2" fillId="2" borderId="28" xfId="0" applyFont="1" applyFill="1" applyBorder="1"/>
    <xf numFmtId="173" fontId="1" fillId="2" borderId="28" xfId="0" applyNumberFormat="1" applyFont="1" applyFill="1" applyBorder="1" applyAlignment="1">
      <alignment horizontal="center" vertical="top" wrapText="1"/>
    </xf>
    <xf numFmtId="178" fontId="2" fillId="2" borderId="0" xfId="0" applyNumberFormat="1" applyFont="1" applyFill="1"/>
    <xf numFmtId="178" fontId="2" fillId="2" borderId="33" xfId="0" applyNumberFormat="1" applyFont="1" applyFill="1" applyBorder="1"/>
    <xf numFmtId="173" fontId="2" fillId="2" borderId="34" xfId="0" applyNumberFormat="1" applyFont="1" applyFill="1" applyBorder="1"/>
    <xf numFmtId="173" fontId="1" fillId="17" borderId="28" xfId="0" applyNumberFormat="1" applyFont="1" applyFill="1" applyBorder="1" applyAlignment="1">
      <alignment horizontal="center" vertical="top" wrapText="1"/>
    </xf>
    <xf numFmtId="173" fontId="2" fillId="17" borderId="34" xfId="0" applyNumberFormat="1" applyFont="1" applyFill="1" applyBorder="1"/>
    <xf numFmtId="0" fontId="2" fillId="0" borderId="28" xfId="0" applyFont="1" applyBorder="1" applyAlignment="1">
      <alignment horizontal="left"/>
    </xf>
    <xf numFmtId="173" fontId="1" fillId="0" borderId="0" xfId="0" applyNumberFormat="1" applyFont="1" applyAlignment="1">
      <alignment horizontal="center" vertical="top" wrapText="1"/>
    </xf>
    <xf numFmtId="0" fontId="2" fillId="0" borderId="28" xfId="0" applyFont="1" applyBorder="1"/>
    <xf numFmtId="0" fontId="2" fillId="0" borderId="1" xfId="0" applyFont="1" applyBorder="1" applyAlignment="1">
      <alignment horizontal="left"/>
    </xf>
    <xf numFmtId="181" fontId="1" fillId="0" borderId="21" xfId="0" applyNumberFormat="1" applyFont="1" applyBorder="1" applyAlignment="1">
      <alignment horizontal="center" vertical="top" wrapText="1"/>
    </xf>
    <xf numFmtId="181" fontId="2" fillId="0" borderId="1" xfId="0" applyNumberFormat="1" applyFont="1" applyBorder="1"/>
    <xf numFmtId="181" fontId="2" fillId="0" borderId="21" xfId="0" applyNumberFormat="1" applyFont="1" applyBorder="1"/>
    <xf numFmtId="173" fontId="2" fillId="0" borderId="21" xfId="0" applyNumberFormat="1" applyFont="1" applyBorder="1"/>
    <xf numFmtId="181" fontId="1" fillId="17" borderId="0" xfId="0" applyNumberFormat="1" applyFont="1" applyFill="1" applyAlignment="1">
      <alignment horizontal="center" vertical="top" wrapText="1"/>
    </xf>
    <xf numFmtId="181" fontId="2" fillId="17" borderId="28" xfId="0" applyNumberFormat="1" applyFont="1" applyFill="1" applyBorder="1"/>
    <xf numFmtId="181" fontId="1" fillId="17" borderId="40" xfId="0" applyNumberFormat="1" applyFont="1" applyFill="1" applyBorder="1" applyAlignment="1">
      <alignment horizontal="center" vertical="top" wrapText="1"/>
    </xf>
    <xf numFmtId="181" fontId="1" fillId="17" borderId="41" xfId="0" applyNumberFormat="1" applyFont="1" applyFill="1" applyBorder="1" applyAlignment="1">
      <alignment horizontal="center" vertical="top" wrapText="1"/>
    </xf>
    <xf numFmtId="181" fontId="1" fillId="17" borderId="27" xfId="0" applyNumberFormat="1" applyFont="1" applyFill="1" applyBorder="1" applyAlignment="1">
      <alignment horizontal="center" vertical="top" wrapText="1"/>
    </xf>
    <xf numFmtId="170" fontId="1" fillId="17" borderId="41" xfId="0" applyNumberFormat="1" applyFont="1" applyFill="1" applyBorder="1" applyAlignment="1">
      <alignment horizontal="center" vertical="top" wrapText="1"/>
    </xf>
    <xf numFmtId="170" fontId="1" fillId="17" borderId="16" xfId="0" applyNumberFormat="1" applyFont="1" applyFill="1" applyBorder="1" applyAlignment="1">
      <alignment horizontal="center" vertical="top" wrapText="1"/>
    </xf>
    <xf numFmtId="170" fontId="1" fillId="17" borderId="27" xfId="0" applyNumberFormat="1" applyFont="1" applyFill="1" applyBorder="1" applyAlignment="1">
      <alignment horizontal="center" vertical="top" wrapText="1"/>
    </xf>
    <xf numFmtId="170" fontId="1" fillId="17" borderId="40" xfId="0" applyNumberFormat="1" applyFont="1" applyFill="1" applyBorder="1" applyAlignment="1">
      <alignment horizontal="center" vertical="top" wrapText="1"/>
    </xf>
    <xf numFmtId="0" fontId="2" fillId="17" borderId="41" xfId="0" applyFont="1" applyFill="1" applyBorder="1"/>
    <xf numFmtId="0" fontId="2" fillId="17" borderId="27" xfId="0" applyFont="1" applyFill="1" applyBorder="1"/>
    <xf numFmtId="0" fontId="2" fillId="17" borderId="0" xfId="0" applyFont="1" applyFill="1"/>
    <xf numFmtId="0" fontId="2" fillId="17" borderId="30" xfId="0" applyFont="1" applyFill="1" applyBorder="1"/>
    <xf numFmtId="0" fontId="2" fillId="17" borderId="42" xfId="0" applyFont="1" applyFill="1" applyBorder="1"/>
    <xf numFmtId="0" fontId="2" fillId="17" borderId="31" xfId="0" applyFont="1" applyFill="1" applyBorder="1"/>
    <xf numFmtId="0" fontId="2" fillId="17" borderId="43" xfId="0" applyFont="1" applyFill="1" applyBorder="1"/>
    <xf numFmtId="181" fontId="1" fillId="2" borderId="44" xfId="0" applyNumberFormat="1" applyFont="1" applyFill="1" applyBorder="1" applyAlignment="1">
      <alignment horizontal="center" vertical="top" wrapText="1"/>
    </xf>
    <xf numFmtId="181" fontId="1" fillId="2" borderId="45" xfId="0" applyNumberFormat="1" applyFont="1" applyFill="1" applyBorder="1" applyAlignment="1">
      <alignment horizontal="center" vertical="top" wrapText="1"/>
    </xf>
    <xf numFmtId="181" fontId="1" fillId="2" borderId="28" xfId="0" applyNumberFormat="1" applyFont="1" applyFill="1" applyBorder="1" applyAlignment="1">
      <alignment horizontal="center" vertical="top" wrapText="1"/>
    </xf>
    <xf numFmtId="170" fontId="1" fillId="2" borderId="45" xfId="0" applyNumberFormat="1" applyFont="1" applyFill="1" applyBorder="1" applyAlignment="1">
      <alignment horizontal="center" vertical="top" wrapText="1"/>
    </xf>
    <xf numFmtId="170" fontId="1" fillId="2" borderId="19" xfId="0" applyNumberFormat="1" applyFont="1" applyFill="1" applyBorder="1" applyAlignment="1">
      <alignment horizontal="center" vertical="top" wrapText="1"/>
    </xf>
    <xf numFmtId="170" fontId="1" fillId="2" borderId="28" xfId="0" applyNumberFormat="1" applyFont="1" applyFill="1" applyBorder="1" applyAlignment="1">
      <alignment horizontal="center" vertical="top" wrapText="1"/>
    </xf>
    <xf numFmtId="170" fontId="1" fillId="2" borderId="44" xfId="0" applyNumberFormat="1" applyFont="1" applyFill="1" applyBorder="1" applyAlignment="1">
      <alignment horizontal="center" vertical="top" wrapText="1"/>
    </xf>
    <xf numFmtId="0" fontId="2" fillId="3" borderId="45" xfId="0" applyFont="1" applyFill="1" applyBorder="1"/>
    <xf numFmtId="0" fontId="2" fillId="2" borderId="45" xfId="0" applyFont="1" applyFill="1" applyBorder="1"/>
    <xf numFmtId="0" fontId="2" fillId="2" borderId="33" xfId="0" applyFont="1" applyFill="1" applyBorder="1"/>
    <xf numFmtId="0" fontId="2" fillId="2" borderId="46" xfId="0" applyFont="1" applyFill="1" applyBorder="1"/>
    <xf numFmtId="0" fontId="2" fillId="2" borderId="35" xfId="0" applyFont="1" applyFill="1" applyBorder="1"/>
    <xf numFmtId="0" fontId="2" fillId="2" borderId="47" xfId="0" applyFont="1" applyFill="1" applyBorder="1"/>
    <xf numFmtId="181" fontId="1" fillId="0" borderId="0" xfId="0" applyNumberFormat="1" applyFont="1" applyAlignment="1">
      <alignment horizontal="center" vertical="top" wrapText="1"/>
    </xf>
    <xf numFmtId="0" fontId="1" fillId="0" borderId="26" xfId="0" applyFont="1" applyBorder="1" applyAlignment="1">
      <alignment horizontal="left"/>
    </xf>
    <xf numFmtId="181" fontId="2" fillId="0" borderId="26" xfId="0" applyNumberFormat="1" applyFont="1" applyBorder="1"/>
    <xf numFmtId="181" fontId="2" fillId="0" borderId="0" xfId="0" applyNumberFormat="1" applyFont="1"/>
    <xf numFmtId="181" fontId="2" fillId="2" borderId="0" xfId="0" applyNumberFormat="1" applyFont="1" applyFill="1"/>
    <xf numFmtId="181" fontId="1" fillId="2" borderId="0" xfId="0" applyNumberFormat="1" applyFont="1" applyFill="1" applyAlignment="1">
      <alignment horizontal="center" vertical="top" wrapText="1"/>
    </xf>
    <xf numFmtId="181" fontId="2" fillId="2" borderId="28" xfId="0" applyNumberFormat="1" applyFont="1" applyFill="1" applyBorder="1"/>
    <xf numFmtId="173" fontId="2" fillId="2" borderId="0" xfId="0" applyNumberFormat="1" applyFont="1" applyFill="1"/>
    <xf numFmtId="0" fontId="11" fillId="2" borderId="0" xfId="0" applyFont="1" applyFill="1"/>
    <xf numFmtId="0" fontId="35" fillId="9" borderId="28" xfId="0" applyFont="1" applyFill="1" applyBorder="1" applyAlignment="1">
      <alignment horizontal="left" vertical="top" wrapText="1"/>
    </xf>
    <xf numFmtId="0" fontId="11" fillId="9" borderId="0" xfId="0" applyFont="1" applyFill="1"/>
    <xf numFmtId="0" fontId="11" fillId="9" borderId="28" xfId="0" applyFont="1" applyFill="1" applyBorder="1"/>
    <xf numFmtId="0" fontId="11" fillId="9" borderId="27" xfId="0" applyFont="1" applyFill="1" applyBorder="1"/>
    <xf numFmtId="0" fontId="25" fillId="20" borderId="28" xfId="0" applyFont="1" applyFill="1" applyBorder="1" applyAlignment="1">
      <alignment horizontal="left" vertical="top"/>
    </xf>
    <xf numFmtId="0" fontId="2" fillId="20" borderId="0" xfId="0" applyFont="1" applyFill="1"/>
    <xf numFmtId="0" fontId="2" fillId="20" borderId="28" xfId="0" applyFont="1" applyFill="1" applyBorder="1"/>
    <xf numFmtId="0" fontId="2" fillId="20" borderId="28" xfId="0" applyFont="1" applyFill="1" applyBorder="1" applyAlignment="1">
      <alignment vertical="top"/>
    </xf>
    <xf numFmtId="0" fontId="2" fillId="20" borderId="0" xfId="0" applyFont="1" applyFill="1" applyAlignment="1">
      <alignment vertical="top"/>
    </xf>
    <xf numFmtId="0" fontId="1" fillId="0" borderId="28" xfId="0" applyFont="1" applyBorder="1" applyAlignment="1">
      <alignment horizontal="left" vertical="top" wrapText="1"/>
    </xf>
    <xf numFmtId="180" fontId="1" fillId="0" borderId="0" xfId="0" applyNumberFormat="1" applyFont="1" applyAlignment="1">
      <alignment horizontal="right" vertical="top" wrapText="1"/>
    </xf>
    <xf numFmtId="180" fontId="2" fillId="0" borderId="28" xfId="0" applyNumberFormat="1" applyFont="1" applyBorder="1"/>
    <xf numFmtId="180" fontId="2" fillId="0" borderId="28" xfId="0" applyNumberFormat="1" applyFont="1" applyBorder="1" applyAlignment="1">
      <alignment vertical="top"/>
    </xf>
    <xf numFmtId="180" fontId="2" fillId="0" borderId="18" xfId="0" applyNumberFormat="1" applyFont="1" applyBorder="1" applyAlignment="1">
      <alignment vertical="top"/>
    </xf>
    <xf numFmtId="189" fontId="1" fillId="0" borderId="30" xfId="0" applyNumberFormat="1" applyFont="1" applyBorder="1" applyAlignment="1">
      <alignment horizontal="right" vertical="top"/>
    </xf>
    <xf numFmtId="189" fontId="1" fillId="0" borderId="31" xfId="0" applyNumberFormat="1" applyFont="1" applyBorder="1" applyAlignment="1">
      <alignment horizontal="right" vertical="top"/>
    </xf>
    <xf numFmtId="189" fontId="1" fillId="0" borderId="53" xfId="0" applyNumberFormat="1" applyFont="1" applyBorder="1" applyAlignment="1">
      <alignment horizontal="right" vertical="top"/>
    </xf>
    <xf numFmtId="189" fontId="2" fillId="0" borderId="27" xfId="0" applyNumberFormat="1" applyFont="1" applyBorder="1"/>
    <xf numFmtId="0" fontId="35" fillId="26" borderId="1" xfId="0" applyFont="1" applyFill="1" applyBorder="1" applyAlignment="1">
      <alignment horizontal="left" vertical="top"/>
    </xf>
    <xf numFmtId="180" fontId="36" fillId="26" borderId="21" xfId="0" applyNumberFormat="1" applyFont="1" applyFill="1" applyBorder="1" applyAlignment="1">
      <alignment horizontal="right" vertical="top"/>
    </xf>
    <xf numFmtId="180" fontId="11" fillId="26" borderId="1" xfId="0" applyNumberFormat="1" applyFont="1" applyFill="1" applyBorder="1"/>
    <xf numFmtId="180" fontId="36" fillId="26" borderId="1" xfId="0" applyNumberFormat="1" applyFont="1" applyFill="1" applyBorder="1" applyAlignment="1">
      <alignment vertical="top"/>
    </xf>
    <xf numFmtId="180" fontId="36" fillId="26" borderId="21" xfId="0" applyNumberFormat="1" applyFont="1" applyFill="1" applyBorder="1" applyAlignment="1">
      <alignment vertical="top"/>
    </xf>
    <xf numFmtId="180" fontId="36" fillId="26" borderId="24" xfId="0" applyNumberFormat="1" applyFont="1" applyFill="1" applyBorder="1" applyAlignment="1">
      <alignment horizontal="right" vertical="top"/>
    </xf>
    <xf numFmtId="180" fontId="36" fillId="26" borderId="2" xfId="0" applyNumberFormat="1" applyFont="1" applyFill="1" applyBorder="1" applyAlignment="1">
      <alignment horizontal="right" vertical="top"/>
    </xf>
    <xf numFmtId="180" fontId="11" fillId="26" borderId="28" xfId="0" applyNumberFormat="1" applyFont="1" applyFill="1" applyBorder="1" applyAlignment="1">
      <alignment vertical="top"/>
    </xf>
    <xf numFmtId="0" fontId="25" fillId="0" borderId="28" xfId="0" applyFont="1" applyBorder="1" applyAlignment="1">
      <alignment horizontal="left" vertical="top" wrapText="1"/>
    </xf>
    <xf numFmtId="180" fontId="1" fillId="0" borderId="14" xfId="0" applyNumberFormat="1" applyFont="1" applyBorder="1" applyAlignment="1">
      <alignment horizontal="right" vertical="top" wrapText="1"/>
    </xf>
    <xf numFmtId="180" fontId="1" fillId="0" borderId="22" xfId="0" applyNumberFormat="1" applyFont="1" applyBorder="1" applyAlignment="1">
      <alignment horizontal="right" vertical="top" wrapText="1"/>
    </xf>
    <xf numFmtId="180" fontId="1" fillId="0" borderId="15" xfId="0" applyNumberFormat="1" applyFont="1" applyBorder="1" applyAlignment="1">
      <alignment horizontal="right" vertical="top" wrapText="1"/>
    </xf>
    <xf numFmtId="0" fontId="2" fillId="0" borderId="30" xfId="0" applyFont="1" applyBorder="1"/>
    <xf numFmtId="0" fontId="2" fillId="0" borderId="31" xfId="0" applyFont="1" applyBorder="1"/>
    <xf numFmtId="180" fontId="1" fillId="0" borderId="49" xfId="0" applyNumberFormat="1" applyFont="1" applyBorder="1" applyAlignment="1">
      <alignment horizontal="right" vertical="top"/>
    </xf>
    <xf numFmtId="0" fontId="1" fillId="0" borderId="28" xfId="0" applyFont="1" applyBorder="1" applyAlignment="1">
      <alignment horizontal="left" vertical="top"/>
    </xf>
    <xf numFmtId="180" fontId="1" fillId="0" borderId="0" xfId="0" applyNumberFormat="1" applyFont="1" applyAlignment="1">
      <alignment horizontal="right" vertical="top"/>
    </xf>
    <xf numFmtId="181" fontId="1" fillId="0" borderId="0" xfId="0" applyNumberFormat="1" applyFont="1" applyAlignment="1">
      <alignment horizontal="right" vertical="top"/>
    </xf>
    <xf numFmtId="180" fontId="1" fillId="0" borderId="18" xfId="0" applyNumberFormat="1" applyFont="1" applyBorder="1" applyAlignment="1">
      <alignment horizontal="right" vertical="top"/>
    </xf>
    <xf numFmtId="178" fontId="34" fillId="0" borderId="33" xfId="0" applyNumberFormat="1" applyFont="1" applyBorder="1"/>
    <xf numFmtId="178" fontId="34" fillId="0" borderId="54" xfId="0" applyNumberFormat="1" applyFont="1" applyBorder="1"/>
    <xf numFmtId="178" fontId="1" fillId="0" borderId="28" xfId="0" applyNumberFormat="1" applyFont="1" applyBorder="1"/>
    <xf numFmtId="170" fontId="2" fillId="0" borderId="0" xfId="0" applyNumberFormat="1" applyFont="1"/>
    <xf numFmtId="180" fontId="1" fillId="0" borderId="24" xfId="0" applyNumberFormat="1" applyFont="1" applyBorder="1" applyAlignment="1">
      <alignment horizontal="right" vertical="top"/>
    </xf>
    <xf numFmtId="180" fontId="1" fillId="0" borderId="2" xfId="0" applyNumberFormat="1" applyFont="1" applyBorder="1" applyAlignment="1">
      <alignment horizontal="right" vertical="top"/>
    </xf>
    <xf numFmtId="180" fontId="1" fillId="0" borderId="25" xfId="0" applyNumberFormat="1" applyFont="1" applyBorder="1" applyAlignment="1">
      <alignment horizontal="right" vertical="top"/>
    </xf>
    <xf numFmtId="189" fontId="1" fillId="0" borderId="37" xfId="0" applyNumberFormat="1" applyFont="1" applyBorder="1"/>
    <xf numFmtId="189" fontId="1" fillId="0" borderId="52" xfId="0" applyNumberFormat="1" applyFont="1" applyBorder="1"/>
    <xf numFmtId="178" fontId="1" fillId="0" borderId="26" xfId="0" applyNumberFormat="1" applyFont="1" applyBorder="1"/>
    <xf numFmtId="180" fontId="36" fillId="26" borderId="20" xfId="0" applyNumberFormat="1" applyFont="1" applyFill="1" applyBorder="1" applyAlignment="1">
      <alignment horizontal="right" vertical="top"/>
    </xf>
    <xf numFmtId="0" fontId="25" fillId="0" borderId="28" xfId="0" applyFont="1" applyBorder="1" applyAlignment="1">
      <alignment horizontal="left" vertical="top"/>
    </xf>
    <xf numFmtId="0" fontId="2" fillId="0" borderId="53" xfId="0" applyFont="1" applyBorder="1"/>
    <xf numFmtId="180" fontId="1" fillId="0" borderId="33" xfId="0" applyNumberFormat="1" applyFont="1" applyBorder="1" applyAlignment="1">
      <alignment horizontal="right" vertical="top"/>
    </xf>
    <xf numFmtId="180" fontId="1" fillId="0" borderId="35" xfId="0" applyNumberFormat="1" applyFont="1" applyBorder="1" applyAlignment="1">
      <alignment horizontal="right" vertical="top"/>
    </xf>
    <xf numFmtId="173" fontId="1" fillId="0" borderId="0" xfId="0" applyNumberFormat="1" applyFont="1" applyAlignment="1">
      <alignment horizontal="right" vertical="top"/>
    </xf>
    <xf numFmtId="173" fontId="2" fillId="0" borderId="28" xfId="0" applyNumberFormat="1" applyFont="1" applyBorder="1" applyAlignment="1">
      <alignment vertical="top"/>
    </xf>
    <xf numFmtId="180" fontId="1" fillId="0" borderId="28" xfId="0" applyNumberFormat="1" applyFont="1" applyBorder="1"/>
    <xf numFmtId="0" fontId="1" fillId="0" borderId="36" xfId="0" applyFont="1" applyBorder="1"/>
    <xf numFmtId="0" fontId="1" fillId="0" borderId="37" xfId="0" applyFont="1" applyBorder="1"/>
    <xf numFmtId="180" fontId="1" fillId="0" borderId="52" xfId="0" applyNumberFormat="1" applyFont="1" applyBorder="1" applyAlignment="1">
      <alignment horizontal="right" vertical="top"/>
    </xf>
    <xf numFmtId="180" fontId="11" fillId="26" borderId="1" xfId="0" applyNumberFormat="1" applyFont="1" applyFill="1" applyBorder="1" applyAlignment="1">
      <alignment vertical="top"/>
    </xf>
    <xf numFmtId="180" fontId="1" fillId="0" borderId="30" xfId="0" applyNumberFormat="1" applyFont="1" applyBorder="1" applyAlignment="1">
      <alignment horizontal="right" vertical="top"/>
    </xf>
    <xf numFmtId="180" fontId="1" fillId="0" borderId="31" xfId="0" applyNumberFormat="1" applyFont="1" applyBorder="1" applyAlignment="1">
      <alignment horizontal="right" vertical="top"/>
    </xf>
    <xf numFmtId="180" fontId="1" fillId="0" borderId="53" xfId="0" applyNumberFormat="1" applyFont="1" applyBorder="1" applyAlignment="1">
      <alignment horizontal="right" vertical="top"/>
    </xf>
    <xf numFmtId="0" fontId="2" fillId="0" borderId="33" xfId="0" applyFont="1" applyBorder="1"/>
    <xf numFmtId="0" fontId="2" fillId="0" borderId="35" xfId="0" applyFont="1" applyBorder="1"/>
    <xf numFmtId="0" fontId="2" fillId="0" borderId="49" xfId="0" applyFont="1" applyBorder="1"/>
    <xf numFmtId="180" fontId="1" fillId="0" borderId="0" xfId="0" applyNumberFormat="1" applyFont="1"/>
    <xf numFmtId="180" fontId="1" fillId="0" borderId="33" xfId="0" applyNumberFormat="1" applyFont="1" applyBorder="1"/>
    <xf numFmtId="180" fontId="1" fillId="0" borderId="35" xfId="0" applyNumberFormat="1" applyFont="1" applyBorder="1"/>
    <xf numFmtId="180" fontId="1" fillId="0" borderId="49" xfId="0" applyNumberFormat="1" applyFont="1" applyBorder="1"/>
    <xf numFmtId="180" fontId="1" fillId="0" borderId="36" xfId="0" applyNumberFormat="1" applyFont="1" applyBorder="1"/>
    <xf numFmtId="180" fontId="1" fillId="0" borderId="37" xfId="0" applyNumberFormat="1" applyFont="1" applyBorder="1"/>
    <xf numFmtId="180" fontId="2" fillId="0" borderId="26" xfId="0" applyNumberFormat="1" applyFont="1" applyBorder="1" applyAlignment="1">
      <alignment vertical="top"/>
    </xf>
    <xf numFmtId="180" fontId="11" fillId="26" borderId="21" xfId="0" applyNumberFormat="1" applyFont="1" applyFill="1" applyBorder="1" applyAlignment="1">
      <alignment horizontal="right" vertical="top"/>
    </xf>
    <xf numFmtId="180" fontId="36" fillId="26" borderId="23" xfId="0" applyNumberFormat="1" applyFont="1" applyFill="1" applyBorder="1" applyAlignment="1">
      <alignment horizontal="right" vertical="top"/>
    </xf>
    <xf numFmtId="180" fontId="37" fillId="26" borderId="1" xfId="0" applyNumberFormat="1" applyFont="1" applyFill="1" applyBorder="1" applyAlignment="1">
      <alignment horizontal="right" vertical="top"/>
    </xf>
    <xf numFmtId="0" fontId="35" fillId="27" borderId="1" xfId="0" applyFont="1" applyFill="1" applyBorder="1" applyAlignment="1">
      <alignment horizontal="left" vertical="top"/>
    </xf>
    <xf numFmtId="180" fontId="36" fillId="27" borderId="21" xfId="0" applyNumberFormat="1" applyFont="1" applyFill="1" applyBorder="1" applyAlignment="1">
      <alignment horizontal="right" vertical="top"/>
    </xf>
    <xf numFmtId="180" fontId="11" fillId="27" borderId="1" xfId="0" applyNumberFormat="1" applyFont="1" applyFill="1" applyBorder="1"/>
    <xf numFmtId="180" fontId="11" fillId="27" borderId="1" xfId="0" applyNumberFormat="1" applyFont="1" applyFill="1" applyBorder="1" applyAlignment="1">
      <alignment vertical="top"/>
    </xf>
    <xf numFmtId="180" fontId="36" fillId="27" borderId="20" xfId="0" applyNumberFormat="1" applyFont="1" applyFill="1" applyBorder="1" applyAlignment="1">
      <alignment horizontal="right" vertical="top"/>
    </xf>
    <xf numFmtId="180" fontId="36" fillId="27" borderId="23" xfId="0" applyNumberFormat="1" applyFont="1" applyFill="1" applyBorder="1" applyAlignment="1">
      <alignment horizontal="right" vertical="top"/>
    </xf>
    <xf numFmtId="180" fontId="7" fillId="27" borderId="23" xfId="0" applyNumberFormat="1" applyFont="1" applyFill="1" applyBorder="1" applyAlignment="1">
      <alignment horizontal="right" vertical="top"/>
    </xf>
    <xf numFmtId="180" fontId="2" fillId="0" borderId="0" xfId="0" applyNumberFormat="1" applyFont="1"/>
    <xf numFmtId="197" fontId="2" fillId="0" borderId="0" xfId="0" applyNumberFormat="1" applyFont="1"/>
    <xf numFmtId="0" fontId="1" fillId="0" borderId="28" xfId="0" applyFont="1" applyBorder="1" applyAlignment="1">
      <alignment horizontal="left"/>
    </xf>
    <xf numFmtId="181" fontId="2" fillId="0" borderId="28" xfId="0" applyNumberFormat="1" applyFont="1" applyBorder="1"/>
    <xf numFmtId="181" fontId="2" fillId="0" borderId="2" xfId="0" applyNumberFormat="1" applyFont="1" applyBorder="1"/>
    <xf numFmtId="173" fontId="1" fillId="17" borderId="0" xfId="0" applyNumberFormat="1" applyFont="1" applyFill="1"/>
    <xf numFmtId="173" fontId="2" fillId="2" borderId="28" xfId="0" applyNumberFormat="1" applyFont="1" applyFill="1" applyBorder="1"/>
    <xf numFmtId="173" fontId="2" fillId="17" borderId="28" xfId="0" applyNumberFormat="1" applyFont="1" applyFill="1" applyBorder="1"/>
    <xf numFmtId="173" fontId="2" fillId="17" borderId="26" xfId="0" applyNumberFormat="1" applyFont="1" applyFill="1" applyBorder="1"/>
    <xf numFmtId="181" fontId="1" fillId="17" borderId="31" xfId="0" applyNumberFormat="1" applyFont="1" applyFill="1" applyBorder="1" applyAlignment="1">
      <alignment horizontal="center" vertical="top" wrapText="1"/>
    </xf>
    <xf numFmtId="173" fontId="1" fillId="17" borderId="14" xfId="0" applyNumberFormat="1" applyFont="1" applyFill="1" applyBorder="1" applyAlignment="1">
      <alignment horizontal="center" vertical="top" wrapText="1"/>
    </xf>
    <xf numFmtId="173" fontId="1" fillId="0" borderId="28" xfId="0" applyNumberFormat="1" applyFont="1" applyBorder="1" applyAlignment="1">
      <alignment horizontal="center" vertical="top" wrapText="1"/>
    </xf>
    <xf numFmtId="173" fontId="1" fillId="0" borderId="18" xfId="0" applyNumberFormat="1" applyFont="1" applyBorder="1" applyAlignment="1">
      <alignment horizontal="center" vertical="top" wrapText="1"/>
    </xf>
    <xf numFmtId="173" fontId="1" fillId="17" borderId="18" xfId="0" applyNumberFormat="1" applyFont="1" applyFill="1" applyBorder="1" applyAlignment="1">
      <alignment horizontal="center" vertical="top" wrapText="1"/>
    </xf>
    <xf numFmtId="0" fontId="1" fillId="0" borderId="28" xfId="0" applyFont="1" applyBorder="1" applyAlignment="1">
      <alignment horizontal="center" vertical="top" wrapText="1"/>
    </xf>
    <xf numFmtId="0" fontId="2" fillId="0" borderId="2" xfId="0" applyFont="1" applyBorder="1"/>
    <xf numFmtId="0" fontId="1" fillId="17" borderId="0" xfId="0" applyFont="1" applyFill="1" applyAlignment="1">
      <alignment horizontal="center" vertical="top" wrapText="1"/>
    </xf>
    <xf numFmtId="0" fontId="1" fillId="17" borderId="28" xfId="0" applyFont="1" applyFill="1" applyBorder="1" applyAlignment="1">
      <alignment horizontal="center" vertical="top" wrapText="1"/>
    </xf>
    <xf numFmtId="17" fontId="2" fillId="0" borderId="21" xfId="0" applyNumberFormat="1" applyFont="1" applyBorder="1"/>
    <xf numFmtId="173" fontId="2" fillId="17" borderId="0" xfId="0" applyNumberFormat="1" applyFont="1" applyFill="1"/>
    <xf numFmtId="178" fontId="1" fillId="0" borderId="0" xfId="0" applyNumberFormat="1" applyFont="1"/>
    <xf numFmtId="178" fontId="2" fillId="0" borderId="2" xfId="0" applyNumberFormat="1" applyFont="1" applyBorder="1"/>
    <xf numFmtId="164" fontId="2" fillId="0" borderId="0" xfId="0" applyNumberFormat="1" applyFont="1"/>
    <xf numFmtId="170" fontId="1" fillId="17" borderId="0" xfId="0" applyNumberFormat="1" applyFont="1" applyFill="1" applyAlignment="1">
      <alignment horizontal="center" vertical="top" wrapText="1"/>
    </xf>
    <xf numFmtId="0" fontId="1" fillId="17" borderId="27" xfId="0" applyFont="1" applyFill="1" applyBorder="1" applyAlignment="1">
      <alignment horizontal="center" vertical="top" wrapText="1"/>
    </xf>
    <xf numFmtId="170" fontId="1" fillId="0" borderId="0" xfId="0" applyNumberFormat="1" applyFont="1" applyAlignment="1">
      <alignment horizontal="center" vertical="top" wrapText="1"/>
    </xf>
    <xf numFmtId="170" fontId="1" fillId="0" borderId="28" xfId="0" applyNumberFormat="1" applyFont="1" applyBorder="1" applyAlignment="1">
      <alignment horizontal="center" vertical="top" wrapText="1"/>
    </xf>
    <xf numFmtId="202" fontId="1" fillId="17" borderId="0" xfId="0" applyNumberFormat="1" applyFont="1" applyFill="1" applyAlignment="1">
      <alignment horizontal="center" vertical="top" wrapText="1"/>
    </xf>
    <xf numFmtId="202" fontId="1" fillId="17" borderId="27" xfId="0" applyNumberFormat="1" applyFont="1" applyFill="1" applyBorder="1" applyAlignment="1">
      <alignment horizontal="center" vertical="top" wrapText="1"/>
    </xf>
    <xf numFmtId="181" fontId="1" fillId="0" borderId="50" xfId="0" applyNumberFormat="1" applyFont="1" applyBorder="1" applyAlignment="1">
      <alignment horizontal="center" vertical="top" wrapText="1"/>
    </xf>
    <xf numFmtId="181" fontId="1" fillId="0" borderId="51" xfId="0" applyNumberFormat="1" applyFont="1" applyBorder="1" applyAlignment="1">
      <alignment horizontal="center" vertical="top" wrapText="1"/>
    </xf>
    <xf numFmtId="181" fontId="1" fillId="0" borderId="58" xfId="0" applyNumberFormat="1" applyFont="1" applyBorder="1" applyAlignment="1">
      <alignment horizontal="center" vertical="top" wrapText="1"/>
    </xf>
    <xf numFmtId="181" fontId="1" fillId="0" borderId="26" xfId="0" applyNumberFormat="1" applyFont="1" applyBorder="1" applyAlignment="1">
      <alignment horizontal="center" vertical="top" wrapText="1"/>
    </xf>
    <xf numFmtId="0" fontId="1" fillId="17" borderId="27" xfId="0" applyFont="1" applyFill="1" applyBorder="1" applyAlignment="1">
      <alignment horizontal="left"/>
    </xf>
    <xf numFmtId="181" fontId="1" fillId="17" borderId="22" xfId="0" applyNumberFormat="1" applyFont="1" applyFill="1" applyBorder="1" applyAlignment="1">
      <alignment horizontal="center" vertical="top" wrapText="1"/>
    </xf>
    <xf numFmtId="181" fontId="2" fillId="17" borderId="27" xfId="0" applyNumberFormat="1" applyFont="1" applyFill="1" applyBorder="1"/>
    <xf numFmtId="173" fontId="1" fillId="17" borderId="40" xfId="0" applyNumberFormat="1" applyFont="1" applyFill="1" applyBorder="1" applyAlignment="1">
      <alignment horizontal="center" vertical="top" wrapText="1"/>
    </xf>
    <xf numFmtId="173" fontId="23" fillId="17" borderId="27" xfId="0" applyNumberFormat="1" applyFont="1" applyFill="1" applyBorder="1" applyAlignment="1">
      <alignment horizontal="center" vertical="top" wrapText="1"/>
    </xf>
    <xf numFmtId="173" fontId="1" fillId="17" borderId="41" xfId="0" applyNumberFormat="1" applyFont="1" applyFill="1" applyBorder="1" applyAlignment="1">
      <alignment horizontal="center" vertical="top" wrapText="1"/>
    </xf>
    <xf numFmtId="173" fontId="1" fillId="17" borderId="16" xfId="0" applyNumberFormat="1" applyFont="1" applyFill="1" applyBorder="1" applyAlignment="1">
      <alignment horizontal="center" vertical="top" wrapText="1"/>
    </xf>
    <xf numFmtId="173" fontId="1" fillId="17" borderId="30" xfId="0" applyNumberFormat="1" applyFont="1" applyFill="1" applyBorder="1" applyAlignment="1">
      <alignment horizontal="center" vertical="top" wrapText="1"/>
    </xf>
    <xf numFmtId="173" fontId="1" fillId="17" borderId="31" xfId="0" applyNumberFormat="1" applyFont="1" applyFill="1" applyBorder="1" applyAlignment="1">
      <alignment horizontal="center" vertical="top" wrapText="1"/>
    </xf>
    <xf numFmtId="173" fontId="1" fillId="17" borderId="57" xfId="0" applyNumberFormat="1" applyFont="1" applyFill="1" applyBorder="1" applyAlignment="1">
      <alignment horizontal="center" vertical="top" wrapText="1"/>
    </xf>
    <xf numFmtId="173" fontId="1" fillId="0" borderId="44" xfId="0" applyNumberFormat="1" applyFont="1" applyBorder="1" applyAlignment="1">
      <alignment horizontal="center" vertical="top" wrapText="1"/>
    </xf>
    <xf numFmtId="173" fontId="23" fillId="0" borderId="28" xfId="0" applyNumberFormat="1" applyFont="1" applyBorder="1" applyAlignment="1">
      <alignment horizontal="center" vertical="top" wrapText="1"/>
    </xf>
    <xf numFmtId="173" fontId="1" fillId="0" borderId="45" xfId="0" applyNumberFormat="1" applyFont="1" applyBorder="1" applyAlignment="1">
      <alignment horizontal="center" vertical="top" wrapText="1"/>
    </xf>
    <xf numFmtId="173" fontId="1" fillId="0" borderId="19" xfId="0" applyNumberFormat="1" applyFont="1" applyBorder="1" applyAlignment="1">
      <alignment horizontal="center" vertical="top" wrapText="1"/>
    </xf>
    <xf numFmtId="173" fontId="2" fillId="0" borderId="28" xfId="0" applyNumberFormat="1" applyFont="1" applyBorder="1"/>
    <xf numFmtId="173" fontId="1" fillId="0" borderId="33" xfId="0" applyNumberFormat="1" applyFont="1" applyBorder="1" applyAlignment="1">
      <alignment horizontal="center" vertical="top" wrapText="1"/>
    </xf>
    <xf numFmtId="173" fontId="1" fillId="0" borderId="35" xfId="0" applyNumberFormat="1" applyFont="1" applyBorder="1" applyAlignment="1">
      <alignment horizontal="center" vertical="top" wrapText="1"/>
    </xf>
    <xf numFmtId="173" fontId="1" fillId="17" borderId="44" xfId="0" applyNumberFormat="1" applyFont="1" applyFill="1" applyBorder="1" applyAlignment="1">
      <alignment horizontal="center" vertical="top" wrapText="1"/>
    </xf>
    <xf numFmtId="173" fontId="23" fillId="17" borderId="28" xfId="0" applyNumberFormat="1" applyFont="1" applyFill="1" applyBorder="1" applyAlignment="1">
      <alignment horizontal="center" vertical="top" wrapText="1"/>
    </xf>
    <xf numFmtId="173" fontId="1" fillId="17" borderId="45" xfId="0" applyNumberFormat="1" applyFont="1" applyFill="1" applyBorder="1"/>
    <xf numFmtId="173" fontId="1" fillId="17" borderId="36" xfId="0" applyNumberFormat="1" applyFont="1" applyFill="1" applyBorder="1"/>
    <xf numFmtId="0" fontId="1" fillId="0" borderId="32" xfId="0" applyFont="1" applyBorder="1" applyAlignment="1">
      <alignment horizontal="left"/>
    </xf>
    <xf numFmtId="181" fontId="1" fillId="0" borderId="42" xfId="0" applyNumberFormat="1" applyFont="1" applyBorder="1" applyAlignment="1">
      <alignment horizontal="center" vertical="top" wrapText="1"/>
    </xf>
    <xf numFmtId="181" fontId="1" fillId="0" borderId="31" xfId="0" applyNumberFormat="1" applyFont="1" applyBorder="1" applyAlignment="1">
      <alignment horizontal="center" vertical="top" wrapText="1"/>
    </xf>
    <xf numFmtId="181" fontId="2" fillId="0" borderId="31" xfId="0" applyNumberFormat="1" applyFont="1" applyBorder="1"/>
    <xf numFmtId="0" fontId="1" fillId="0" borderId="31" xfId="0" applyFont="1" applyBorder="1" applyAlignment="1">
      <alignment horizontal="left"/>
    </xf>
    <xf numFmtId="173" fontId="1" fillId="0" borderId="31" xfId="0" applyNumberFormat="1" applyFont="1" applyBorder="1" applyAlignment="1">
      <alignment horizontal="center" vertical="top" wrapText="1"/>
    </xf>
    <xf numFmtId="173" fontId="23" fillId="0" borderId="31" xfId="0" applyNumberFormat="1" applyFont="1" applyBorder="1" applyAlignment="1">
      <alignment horizontal="center" vertical="top" wrapText="1"/>
    </xf>
    <xf numFmtId="173" fontId="2" fillId="0" borderId="31" xfId="0" applyNumberFormat="1" applyFont="1" applyBorder="1"/>
    <xf numFmtId="173" fontId="2" fillId="0" borderId="53" xfId="0" applyNumberFormat="1" applyFont="1" applyBorder="1"/>
    <xf numFmtId="173" fontId="1" fillId="2" borderId="30" xfId="0" applyNumberFormat="1" applyFont="1" applyFill="1" applyBorder="1" applyAlignment="1">
      <alignment horizontal="center" vertical="top" wrapText="1"/>
    </xf>
    <xf numFmtId="173" fontId="1" fillId="0" borderId="57" xfId="0" applyNumberFormat="1" applyFont="1" applyBorder="1" applyAlignment="1">
      <alignment horizontal="center" vertical="top" wrapText="1"/>
    </xf>
    <xf numFmtId="173" fontId="2" fillId="0" borderId="32" xfId="0" applyNumberFormat="1" applyFont="1" applyBorder="1"/>
    <xf numFmtId="0" fontId="1" fillId="17" borderId="34" xfId="0" applyFont="1" applyFill="1" applyBorder="1" applyAlignment="1">
      <alignment horizontal="left"/>
    </xf>
    <xf numFmtId="181" fontId="1" fillId="17" borderId="46" xfId="0" applyNumberFormat="1" applyFont="1" applyFill="1" applyBorder="1" applyAlignment="1">
      <alignment horizontal="center" vertical="top" wrapText="1"/>
    </xf>
    <xf numFmtId="181" fontId="1" fillId="17" borderId="35" xfId="0" applyNumberFormat="1" applyFont="1" applyFill="1" applyBorder="1" applyAlignment="1">
      <alignment horizontal="center" vertical="top" wrapText="1"/>
    </xf>
    <xf numFmtId="181" fontId="2" fillId="17" borderId="35" xfId="0" applyNumberFormat="1" applyFont="1" applyFill="1" applyBorder="1"/>
    <xf numFmtId="0" fontId="1" fillId="17" borderId="35" xfId="0" applyFont="1" applyFill="1" applyBorder="1" applyAlignment="1">
      <alignment horizontal="left"/>
    </xf>
    <xf numFmtId="173" fontId="1" fillId="17" borderId="35" xfId="0" applyNumberFormat="1" applyFont="1" applyFill="1" applyBorder="1" applyAlignment="1">
      <alignment horizontal="center" vertical="top" wrapText="1"/>
    </xf>
    <xf numFmtId="173" fontId="23" fillId="17" borderId="35" xfId="0" applyNumberFormat="1" applyFont="1" applyFill="1" applyBorder="1" applyAlignment="1">
      <alignment horizontal="center" vertical="top" wrapText="1"/>
    </xf>
    <xf numFmtId="173" fontId="2" fillId="17" borderId="35" xfId="0" applyNumberFormat="1" applyFont="1" applyFill="1" applyBorder="1"/>
    <xf numFmtId="173" fontId="2" fillId="17" borderId="49" xfId="0" applyNumberFormat="1" applyFont="1" applyFill="1" applyBorder="1"/>
    <xf numFmtId="173" fontId="1" fillId="17" borderId="33" xfId="0" applyNumberFormat="1" applyFont="1" applyFill="1" applyBorder="1" applyAlignment="1">
      <alignment horizontal="center" vertical="top" wrapText="1"/>
    </xf>
    <xf numFmtId="173" fontId="1" fillId="17" borderId="48" xfId="0" applyNumberFormat="1" applyFont="1" applyFill="1" applyBorder="1" applyAlignment="1">
      <alignment horizontal="center" vertical="top" wrapText="1"/>
    </xf>
    <xf numFmtId="0" fontId="0" fillId="17" borderId="0" xfId="0" applyFill="1"/>
    <xf numFmtId="0" fontId="1" fillId="0" borderId="59" xfId="0" applyFont="1" applyBorder="1" applyAlignment="1">
      <alignment horizontal="left"/>
    </xf>
    <xf numFmtId="181" fontId="1" fillId="0" borderId="60" xfId="0" applyNumberFormat="1" applyFont="1" applyBorder="1" applyAlignment="1">
      <alignment horizontal="center" vertical="top" wrapText="1"/>
    </xf>
    <xf numFmtId="181" fontId="1" fillId="0" borderId="61" xfId="0" applyNumberFormat="1" applyFont="1" applyBorder="1" applyAlignment="1">
      <alignment horizontal="center" vertical="top" wrapText="1"/>
    </xf>
    <xf numFmtId="181" fontId="2" fillId="0" borderId="61" xfId="0" applyNumberFormat="1" applyFont="1" applyBorder="1"/>
    <xf numFmtId="0" fontId="1" fillId="0" borderId="61" xfId="0" applyFont="1" applyBorder="1" applyAlignment="1">
      <alignment horizontal="left"/>
    </xf>
    <xf numFmtId="173" fontId="1" fillId="0" borderId="61" xfId="0" applyNumberFormat="1" applyFont="1" applyBorder="1" applyAlignment="1">
      <alignment horizontal="center" vertical="top" wrapText="1"/>
    </xf>
    <xf numFmtId="173" fontId="23" fillId="0" borderId="61" xfId="0" applyNumberFormat="1" applyFont="1" applyBorder="1" applyAlignment="1">
      <alignment horizontal="center" vertical="top" wrapText="1"/>
    </xf>
    <xf numFmtId="173" fontId="2" fillId="0" borderId="61" xfId="0" applyNumberFormat="1" applyFont="1" applyBorder="1"/>
    <xf numFmtId="173" fontId="2" fillId="0" borderId="62" xfId="0" applyNumberFormat="1" applyFont="1" applyBorder="1"/>
    <xf numFmtId="173" fontId="1" fillId="2" borderId="36" xfId="0" applyNumberFormat="1" applyFont="1" applyFill="1" applyBorder="1"/>
    <xf numFmtId="173" fontId="1" fillId="0" borderId="37" xfId="0" applyNumberFormat="1" applyFont="1" applyBorder="1" applyAlignment="1">
      <alignment horizontal="center" vertical="top" wrapText="1"/>
    </xf>
    <xf numFmtId="173" fontId="1" fillId="0" borderId="38" xfId="0" applyNumberFormat="1" applyFont="1" applyBorder="1" applyAlignment="1">
      <alignment horizontal="center" vertical="top" wrapText="1"/>
    </xf>
    <xf numFmtId="173" fontId="2" fillId="0" borderId="59" xfId="0" applyNumberFormat="1" applyFont="1" applyBorder="1"/>
    <xf numFmtId="0" fontId="1" fillId="17" borderId="32" xfId="0" applyFont="1" applyFill="1" applyBorder="1" applyAlignment="1">
      <alignment horizontal="left"/>
    </xf>
    <xf numFmtId="181" fontId="1" fillId="17" borderId="42" xfId="0" applyNumberFormat="1" applyFont="1" applyFill="1" applyBorder="1" applyAlignment="1">
      <alignment horizontal="center" vertical="top" wrapText="1"/>
    </xf>
    <xf numFmtId="181" fontId="2" fillId="17" borderId="31" xfId="0" applyNumberFormat="1" applyFont="1" applyFill="1" applyBorder="1"/>
    <xf numFmtId="0" fontId="1" fillId="17" borderId="31" xfId="0" applyFont="1" applyFill="1" applyBorder="1" applyAlignment="1">
      <alignment horizontal="left"/>
    </xf>
    <xf numFmtId="173" fontId="23" fillId="17" borderId="31" xfId="0" applyNumberFormat="1" applyFont="1" applyFill="1" applyBorder="1" applyAlignment="1">
      <alignment horizontal="center" vertical="top" wrapText="1"/>
    </xf>
    <xf numFmtId="173" fontId="2" fillId="17" borderId="31" xfId="0" applyNumberFormat="1" applyFont="1" applyFill="1" applyBorder="1"/>
    <xf numFmtId="173" fontId="1" fillId="17" borderId="63" xfId="0" applyNumberFormat="1" applyFont="1" applyFill="1" applyBorder="1" applyAlignment="1">
      <alignment horizontal="center" vertical="top" wrapText="1"/>
    </xf>
    <xf numFmtId="0" fontId="1" fillId="0" borderId="34" xfId="0" applyFont="1" applyBorder="1" applyAlignment="1">
      <alignment horizontal="left"/>
    </xf>
    <xf numFmtId="181" fontId="1" fillId="0" borderId="46" xfId="0" applyNumberFormat="1" applyFont="1" applyBorder="1" applyAlignment="1">
      <alignment horizontal="center" vertical="top" wrapText="1"/>
    </xf>
    <xf numFmtId="181" fontId="1" fillId="0" borderId="35" xfId="0" applyNumberFormat="1" applyFont="1" applyBorder="1" applyAlignment="1">
      <alignment horizontal="center" vertical="top" wrapText="1"/>
    </xf>
    <xf numFmtId="181" fontId="2" fillId="0" borderId="35" xfId="0" applyNumberFormat="1" applyFont="1" applyBorder="1"/>
    <xf numFmtId="0" fontId="1" fillId="0" borderId="35" xfId="0" applyFont="1" applyBorder="1" applyAlignment="1">
      <alignment horizontal="left"/>
    </xf>
    <xf numFmtId="173" fontId="23" fillId="0" borderId="35" xfId="0" applyNumberFormat="1" applyFont="1" applyBorder="1" applyAlignment="1">
      <alignment horizontal="center" vertical="top" wrapText="1"/>
    </xf>
    <xf numFmtId="173" fontId="2" fillId="0" borderId="35" xfId="0" applyNumberFormat="1" applyFont="1" applyBorder="1"/>
    <xf numFmtId="173" fontId="1" fillId="2" borderId="33" xfId="0" applyNumberFormat="1" applyFont="1" applyFill="1" applyBorder="1" applyAlignment="1">
      <alignment horizontal="center" vertical="top" wrapText="1"/>
    </xf>
    <xf numFmtId="173" fontId="1" fillId="0" borderId="54" xfId="0" applyNumberFormat="1" applyFont="1" applyBorder="1" applyAlignment="1">
      <alignment horizontal="center" vertical="top" wrapText="1"/>
    </xf>
    <xf numFmtId="0" fontId="1" fillId="17" borderId="39" xfId="0" applyFont="1" applyFill="1" applyBorder="1" applyAlignment="1">
      <alignment horizontal="left"/>
    </xf>
    <xf numFmtId="181" fontId="1" fillId="17" borderId="55" xfId="0" applyNumberFormat="1" applyFont="1" applyFill="1" applyBorder="1" applyAlignment="1">
      <alignment horizontal="center" vertical="top" wrapText="1"/>
    </xf>
    <xf numFmtId="181" fontId="1" fillId="17" borderId="37" xfId="0" applyNumberFormat="1" applyFont="1" applyFill="1" applyBorder="1" applyAlignment="1">
      <alignment horizontal="center" vertical="top" wrapText="1"/>
    </xf>
    <xf numFmtId="181" fontId="2" fillId="17" borderId="37" xfId="0" applyNumberFormat="1" applyFont="1" applyFill="1" applyBorder="1"/>
    <xf numFmtId="0" fontId="1" fillId="17" borderId="37" xfId="0" applyFont="1" applyFill="1" applyBorder="1" applyAlignment="1">
      <alignment horizontal="left"/>
    </xf>
    <xf numFmtId="173" fontId="1" fillId="17" borderId="37" xfId="0" applyNumberFormat="1" applyFont="1" applyFill="1" applyBorder="1" applyAlignment="1">
      <alignment horizontal="center" vertical="top" wrapText="1"/>
    </xf>
    <xf numFmtId="173" fontId="23" fillId="17" borderId="37" xfId="0" applyNumberFormat="1" applyFont="1" applyFill="1" applyBorder="1" applyAlignment="1">
      <alignment horizontal="center" vertical="top" wrapText="1"/>
    </xf>
    <xf numFmtId="173" fontId="2" fillId="17" borderId="37" xfId="0" applyNumberFormat="1" applyFont="1" applyFill="1" applyBorder="1"/>
    <xf numFmtId="173" fontId="1" fillId="17" borderId="56" xfId="0" applyNumberFormat="1" applyFont="1" applyFill="1" applyBorder="1"/>
    <xf numFmtId="173" fontId="1" fillId="0" borderId="45" xfId="0" applyNumberFormat="1" applyFont="1" applyBorder="1"/>
    <xf numFmtId="173" fontId="1" fillId="2" borderId="45" xfId="0" applyNumberFormat="1" applyFont="1" applyFill="1" applyBorder="1"/>
    <xf numFmtId="173" fontId="23" fillId="0" borderId="0" xfId="0" applyNumberFormat="1" applyFont="1" applyAlignment="1">
      <alignment horizontal="center" vertical="top" wrapText="1"/>
    </xf>
    <xf numFmtId="173" fontId="1" fillId="0" borderId="0" xfId="0" applyNumberFormat="1" applyFont="1"/>
    <xf numFmtId="0" fontId="23" fillId="4" borderId="26" xfId="0" applyFont="1" applyFill="1" applyBorder="1" applyAlignment="1">
      <alignment horizontal="left"/>
    </xf>
    <xf numFmtId="181" fontId="23" fillId="4" borderId="2" xfId="0" applyNumberFormat="1" applyFont="1" applyFill="1" applyBorder="1" applyAlignment="1">
      <alignment horizontal="center" vertical="top" wrapText="1"/>
    </xf>
    <xf numFmtId="181" fontId="19" fillId="4" borderId="26" xfId="0" applyNumberFormat="1" applyFont="1" applyFill="1" applyBorder="1"/>
    <xf numFmtId="173" fontId="28" fillId="4" borderId="50" xfId="0" applyNumberFormat="1" applyFont="1" applyFill="1" applyBorder="1" applyAlignment="1">
      <alignment horizontal="center" vertical="top" wrapText="1"/>
    </xf>
    <xf numFmtId="173" fontId="28" fillId="4" borderId="26" xfId="0" applyNumberFormat="1" applyFont="1" applyFill="1" applyBorder="1" applyAlignment="1">
      <alignment horizontal="center" vertical="top" wrapText="1"/>
    </xf>
    <xf numFmtId="173" fontId="28" fillId="4" borderId="1" xfId="0" applyNumberFormat="1" applyFont="1" applyFill="1" applyBorder="1" applyAlignment="1">
      <alignment horizontal="center" vertical="top" wrapText="1"/>
    </xf>
    <xf numFmtId="200" fontId="11" fillId="9" borderId="0" xfId="0" applyNumberFormat="1" applyFont="1" applyFill="1"/>
    <xf numFmtId="0" fontId="7" fillId="9" borderId="14" xfId="0" applyFont="1" applyFill="1" applyBorder="1" applyAlignment="1">
      <alignment horizontal="center"/>
    </xf>
    <xf numFmtId="0" fontId="0" fillId="0" borderId="0" xfId="0" applyAlignment="1">
      <alignment horizontal="right"/>
    </xf>
    <xf numFmtId="0" fontId="1" fillId="10" borderId="18" xfId="0" applyFont="1" applyFill="1" applyBorder="1" applyAlignment="1">
      <alignment horizontal="left" vertical="top" wrapText="1"/>
    </xf>
    <xf numFmtId="0" fontId="1" fillId="23" borderId="18" xfId="0" applyFont="1" applyFill="1" applyBorder="1" applyAlignment="1">
      <alignment horizontal="left" vertical="top" wrapText="1"/>
    </xf>
    <xf numFmtId="0" fontId="1" fillId="12" borderId="18" xfId="0" applyFont="1" applyFill="1" applyBorder="1" applyAlignment="1">
      <alignment horizontal="left" vertical="top" wrapText="1"/>
    </xf>
    <xf numFmtId="0" fontId="24" fillId="2" borderId="14" xfId="0" applyFont="1" applyFill="1" applyBorder="1" applyAlignment="1">
      <alignment horizontal="left" vertical="top" wrapText="1"/>
    </xf>
    <xf numFmtId="0" fontId="1" fillId="2" borderId="18" xfId="0" applyFont="1" applyFill="1" applyBorder="1" applyAlignment="1">
      <alignment horizontal="left" vertical="top" wrapText="1"/>
    </xf>
    <xf numFmtId="0" fontId="25" fillId="21" borderId="24" xfId="0" applyFont="1" applyFill="1" applyBorder="1" applyAlignment="1">
      <alignment horizontal="left" vertical="top" wrapText="1"/>
    </xf>
    <xf numFmtId="0" fontId="25" fillId="21" borderId="18" xfId="0" applyFont="1" applyFill="1" applyBorder="1" applyAlignment="1">
      <alignment horizontal="left" vertical="top" wrapText="1"/>
    </xf>
    <xf numFmtId="0" fontId="1" fillId="25" borderId="18" xfId="0" applyFont="1" applyFill="1" applyBorder="1" applyAlignment="1">
      <alignment horizontal="left" vertical="top" wrapText="1"/>
    </xf>
    <xf numFmtId="0" fontId="24" fillId="2" borderId="18" xfId="0" applyFont="1" applyFill="1" applyBorder="1" applyAlignment="1">
      <alignment horizontal="left" vertical="top" wrapText="1"/>
    </xf>
    <xf numFmtId="0" fontId="24" fillId="21" borderId="18" xfId="0" applyFont="1" applyFill="1" applyBorder="1" applyAlignment="1">
      <alignment horizontal="left" vertical="top" wrapText="1"/>
    </xf>
    <xf numFmtId="0" fontId="25" fillId="2" borderId="14" xfId="0" applyFont="1" applyFill="1" applyBorder="1" applyAlignment="1">
      <alignment horizontal="left" vertical="top" wrapText="1"/>
    </xf>
    <xf numFmtId="0" fontId="25" fillId="21" borderId="20" xfId="0" applyFont="1" applyFill="1" applyBorder="1" applyAlignment="1">
      <alignment horizontal="left" vertical="top" wrapText="1"/>
    </xf>
    <xf numFmtId="0" fontId="25" fillId="21" borderId="1" xfId="0" applyFont="1" applyFill="1" applyBorder="1" applyAlignment="1">
      <alignment horizontal="left" vertical="top" wrapText="1"/>
    </xf>
    <xf numFmtId="0" fontId="27" fillId="6" borderId="18" xfId="0" applyFont="1" applyFill="1" applyBorder="1" applyAlignment="1">
      <alignment horizontal="left" vertical="top" wrapText="1"/>
    </xf>
    <xf numFmtId="0" fontId="25" fillId="2" borderId="18" xfId="0" applyFont="1" applyFill="1" applyBorder="1" applyAlignment="1">
      <alignment horizontal="left" vertical="top" wrapText="1"/>
    </xf>
    <xf numFmtId="0" fontId="1" fillId="10" borderId="0" xfId="0" applyFont="1" applyFill="1" applyAlignment="1">
      <alignment horizontal="left" vertical="top" wrapText="1"/>
    </xf>
    <xf numFmtId="0" fontId="25" fillId="25" borderId="21" xfId="0" applyFont="1" applyFill="1" applyBorder="1" applyAlignment="1">
      <alignment horizontal="left" vertical="top" wrapText="1"/>
    </xf>
    <xf numFmtId="0" fontId="24" fillId="21" borderId="24" xfId="0" applyFont="1" applyFill="1" applyBorder="1" applyAlignment="1">
      <alignment horizontal="left" vertical="top" wrapText="1"/>
    </xf>
    <xf numFmtId="0" fontId="30" fillId="18" borderId="14" xfId="0" applyFont="1" applyFill="1" applyBorder="1" applyAlignment="1">
      <alignment horizontal="left" vertical="top" wrapText="1"/>
    </xf>
    <xf numFmtId="0" fontId="31" fillId="24" borderId="20" xfId="0" applyFont="1" applyFill="1" applyBorder="1" applyAlignment="1">
      <alignment horizontal="left" vertical="top" wrapText="1"/>
    </xf>
    <xf numFmtId="0" fontId="30" fillId="2" borderId="14" xfId="0" applyFont="1" applyFill="1" applyBorder="1" applyAlignment="1">
      <alignment horizontal="left" vertical="top" wrapText="1"/>
    </xf>
    <xf numFmtId="0" fontId="29" fillId="25" borderId="20" xfId="0" applyFont="1" applyFill="1" applyBorder="1" applyAlignment="1">
      <alignment horizontal="left" vertical="top" wrapText="1"/>
    </xf>
    <xf numFmtId="0" fontId="29" fillId="25" borderId="21" xfId="0" applyFont="1" applyFill="1" applyBorder="1" applyAlignment="1">
      <alignment horizontal="left" vertical="top" wrapText="1"/>
    </xf>
    <xf numFmtId="0" fontId="25" fillId="23" borderId="14" xfId="0" applyFont="1" applyFill="1" applyBorder="1" applyAlignment="1">
      <alignment horizontal="left" vertical="top" wrapText="1"/>
    </xf>
    <xf numFmtId="0" fontId="30" fillId="2" borderId="18" xfId="0" applyFont="1" applyFill="1" applyBorder="1" applyAlignment="1">
      <alignment horizontal="left" vertical="top" wrapText="1"/>
    </xf>
    <xf numFmtId="44" fontId="2" fillId="0" borderId="0" xfId="0" applyNumberFormat="1" applyFont="1"/>
    <xf numFmtId="9" fontId="19" fillId="13" borderId="0" xfId="1" applyFont="1" applyFill="1"/>
    <xf numFmtId="9" fontId="2" fillId="13" borderId="0" xfId="1" applyFont="1" applyFill="1"/>
    <xf numFmtId="9" fontId="19" fillId="0" borderId="0" xfId="1" applyFont="1"/>
    <xf numFmtId="0" fontId="27" fillId="0" borderId="20" xfId="0" applyFont="1" applyFill="1" applyBorder="1" applyAlignment="1">
      <alignment horizontal="left" vertical="top" wrapText="1"/>
    </xf>
    <xf numFmtId="0" fontId="27" fillId="0" borderId="21" xfId="0" applyFont="1" applyFill="1" applyBorder="1" applyAlignment="1">
      <alignment horizontal="left" vertical="top" wrapText="1"/>
    </xf>
    <xf numFmtId="192" fontId="20" fillId="0" borderId="21" xfId="0" applyNumberFormat="1" applyFont="1" applyFill="1" applyBorder="1" applyAlignment="1">
      <alignment horizontal="right" vertical="top" wrapText="1"/>
    </xf>
    <xf numFmtId="178" fontId="20" fillId="0" borderId="23" xfId="0" applyNumberFormat="1" applyFont="1" applyFill="1" applyBorder="1" applyAlignment="1">
      <alignment horizontal="right" vertical="top" wrapText="1"/>
    </xf>
    <xf numFmtId="0" fontId="27" fillId="0" borderId="18" xfId="0" applyFont="1" applyFill="1" applyBorder="1" applyAlignment="1">
      <alignment horizontal="left" vertical="top" wrapText="1"/>
    </xf>
    <xf numFmtId="192" fontId="20" fillId="0" borderId="0" xfId="0" applyNumberFormat="1" applyFont="1" applyFill="1" applyBorder="1" applyAlignment="1">
      <alignment horizontal="right" vertical="top" wrapText="1"/>
    </xf>
    <xf numFmtId="178" fontId="20" fillId="0" borderId="29" xfId="0" applyNumberFormat="1" applyFont="1" applyFill="1" applyBorder="1" applyAlignment="1">
      <alignment horizontal="right" vertical="top" wrapText="1"/>
    </xf>
    <xf numFmtId="0" fontId="5" fillId="0" borderId="0" xfId="0" applyFont="1" applyFill="1"/>
    <xf numFmtId="0" fontId="41" fillId="22" borderId="14" xfId="0" applyFont="1" applyFill="1" applyBorder="1" applyAlignment="1">
      <alignment horizontal="left" vertical="top" wrapText="1"/>
    </xf>
    <xf numFmtId="179" fontId="43" fillId="0" borderId="0" xfId="0" applyNumberFormat="1" applyFont="1" applyAlignment="1">
      <alignment horizontal="left"/>
    </xf>
    <xf numFmtId="179" fontId="44" fillId="16" borderId="0" xfId="0" applyNumberFormat="1" applyFont="1" applyFill="1" applyAlignment="1">
      <alignment horizontal="left"/>
    </xf>
    <xf numFmtId="0" fontId="45" fillId="16" borderId="0" xfId="0" applyFont="1" applyFill="1"/>
    <xf numFmtId="0" fontId="46" fillId="14" borderId="0" xfId="0" applyFont="1" applyFill="1" applyAlignment="1">
      <alignment horizontal="left"/>
    </xf>
    <xf numFmtId="0" fontId="43" fillId="15" borderId="0" xfId="0" applyFont="1" applyFill="1" applyAlignment="1">
      <alignment horizontal="left"/>
    </xf>
    <xf numFmtId="0" fontId="47" fillId="10" borderId="1" xfId="0" applyFont="1" applyFill="1" applyBorder="1" applyAlignment="1">
      <alignment wrapText="1"/>
    </xf>
    <xf numFmtId="0" fontId="47" fillId="0" borderId="1" xfId="0" applyFont="1" applyBorder="1" applyAlignment="1">
      <alignment wrapText="1"/>
    </xf>
  </cellXfs>
  <cellStyles count="2">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850900</xdr:colOff>
      <xdr:row>12</xdr:row>
      <xdr:rowOff>0</xdr:rowOff>
    </xdr:to>
    <xdr:sp macro="" textlink="">
      <xdr:nvSpPr>
        <xdr:cNvPr id="1043" name="_x0000_t202" hidden="1">
          <a:extLst>
            <a:ext uri="{FF2B5EF4-FFF2-40B4-BE49-F238E27FC236}">
              <a16:creationId xmlns:a16="http://schemas.microsoft.com/office/drawing/2014/main" id="{00000000-0008-0000-0500-0000130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215900</xdr:colOff>
      <xdr:row>20</xdr:row>
      <xdr:rowOff>0</xdr:rowOff>
    </xdr:to>
    <xdr:sp macro="" textlink="">
      <xdr:nvSpPr>
        <xdr:cNvPr id="2076" name="_x0000_t202" hidden="1">
          <a:extLst>
            <a:ext uri="{FF2B5EF4-FFF2-40B4-BE49-F238E27FC236}">
              <a16:creationId xmlns:a16="http://schemas.microsoft.com/office/drawing/2014/main" id="{00000000-0008-0000-0800-00001C0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1397000</xdr:colOff>
      <xdr:row>20</xdr:row>
      <xdr:rowOff>0</xdr:rowOff>
    </xdr:to>
    <xdr:sp macro="" textlink="">
      <xdr:nvSpPr>
        <xdr:cNvPr id="3084" name="_x0000_t202" hidden="1">
          <a:extLst>
            <a:ext uri="{FF2B5EF4-FFF2-40B4-BE49-F238E27FC236}">
              <a16:creationId xmlns:a16="http://schemas.microsoft.com/office/drawing/2014/main" id="{00000000-0008-0000-0900-00000C0C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876300</xdr:colOff>
      <xdr:row>45</xdr:row>
      <xdr:rowOff>0</xdr:rowOff>
    </xdr:to>
    <xdr:sp macro="" textlink="">
      <xdr:nvSpPr>
        <xdr:cNvPr id="4139" name="_x0000_t202" hidden="1">
          <a:extLst>
            <a:ext uri="{FF2B5EF4-FFF2-40B4-BE49-F238E27FC236}">
              <a16:creationId xmlns:a16="http://schemas.microsoft.com/office/drawing/2014/main" id="{00000000-0008-0000-0A00-00002B10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87</xdr:col>
      <xdr:colOff>203200</xdr:colOff>
      <xdr:row>33</xdr:row>
      <xdr:rowOff>127000</xdr:rowOff>
    </xdr:to>
    <xdr:sp macro="" textlink="">
      <xdr:nvSpPr>
        <xdr:cNvPr id="5277" name="_x0000_t202" hidden="1">
          <a:extLst>
            <a:ext uri="{FF2B5EF4-FFF2-40B4-BE49-F238E27FC236}">
              <a16:creationId xmlns:a16="http://schemas.microsoft.com/office/drawing/2014/main" id="{00000000-0008-0000-0B00-00009D14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86</xdr:col>
      <xdr:colOff>863600</xdr:colOff>
      <xdr:row>50</xdr:row>
      <xdr:rowOff>0</xdr:rowOff>
    </xdr:to>
    <xdr:sp macro="" textlink="">
      <xdr:nvSpPr>
        <xdr:cNvPr id="10249" name="_x0000_t202" hidden="1">
          <a:extLst>
            <a:ext uri="{FF2B5EF4-FFF2-40B4-BE49-F238E27FC236}">
              <a16:creationId xmlns:a16="http://schemas.microsoft.com/office/drawing/2014/main" id="{00000000-0008-0000-1000-000009280000}"/>
            </a:ext>
          </a:extLst>
        </xdr:cNvPr>
        <xdr:cNvSpPr txBox="1">
          <a:spLocks noSelect="1" noChangeArrowheads="1"/>
        </xdr:cNvSpPr>
      </xdr:nvSpPr>
      <xdr:spPr bwMode="auto">
        <a:xfrm>
          <a:off x="0" y="0"/>
          <a:ext cx="12700000" cy="12700000"/>
        </a:xfrm>
        <a:prstGeom prst="rect">
          <a:avLst/>
        </a:prstGeom>
        <a:solidFill>
          <a:srgbClr val="FFFFFF"/>
        </a:solidFill>
        <a:ln w="9525">
          <a:solidFill>
            <a:srgbClr val="000000"/>
          </a:solidFill>
          <a:miter lim="800000"/>
          <a:headEnd/>
          <a:tailEnd/>
        </a:ln>
      </xdr:spPr>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44"/>
  <sheetViews>
    <sheetView workbookViewId="0"/>
  </sheetViews>
  <sheetFormatPr baseColWidth="10" defaultColWidth="8.83203125" defaultRowHeight="17.25" customHeight="1"/>
  <cols>
    <col min="1" max="1" width="18.1640625" style="3"/>
    <col min="2" max="2" width="31.1640625" style="3"/>
    <col min="3" max="3" width="17.5" style="3"/>
    <col min="4" max="4" width="25.6640625" style="3"/>
    <col min="5" max="5" width="22.5" style="3"/>
    <col min="6" max="6" width="25.1640625" style="3"/>
    <col min="7" max="7" width="22.5" style="3"/>
    <col min="8" max="11" width="15.5" style="3"/>
    <col min="12" max="24" width="19.6640625" style="3"/>
    <col min="25" max="256" width="15.5" style="3"/>
    <col min="257" max="1024" width="10.5"/>
    <col min="1025" max="1025" width="11.5"/>
  </cols>
  <sheetData>
    <row r="1" spans="1:60" ht="28">
      <c r="A1" s="4" t="s">
        <v>0</v>
      </c>
      <c r="B1" s="4" t="s">
        <v>1</v>
      </c>
      <c r="C1" s="4" t="s">
        <v>2</v>
      </c>
      <c r="D1" s="4" t="s">
        <v>3</v>
      </c>
      <c r="E1" s="4" t="s">
        <v>4</v>
      </c>
      <c r="F1" s="5" t="s">
        <v>5</v>
      </c>
      <c r="G1" s="4" t="s">
        <v>6</v>
      </c>
      <c r="H1" s="4" t="s">
        <v>7</v>
      </c>
      <c r="I1" s="4" t="s">
        <v>8</v>
      </c>
      <c r="J1" s="4" t="s">
        <v>9</v>
      </c>
      <c r="K1" s="4" t="s">
        <v>10</v>
      </c>
      <c r="L1" s="6" t="s">
        <v>11</v>
      </c>
      <c r="M1" s="7">
        <v>42370</v>
      </c>
      <c r="N1" s="7">
        <v>42401</v>
      </c>
      <c r="O1" s="7">
        <v>42430</v>
      </c>
      <c r="P1" s="7">
        <v>42461</v>
      </c>
      <c r="Q1" s="7">
        <v>42491</v>
      </c>
      <c r="R1" s="7">
        <v>42522</v>
      </c>
      <c r="S1" s="7">
        <v>42552</v>
      </c>
      <c r="T1" s="7">
        <v>42583</v>
      </c>
      <c r="U1" s="7">
        <v>42614</v>
      </c>
      <c r="V1" s="7">
        <v>42644</v>
      </c>
      <c r="W1" s="7">
        <v>42675</v>
      </c>
      <c r="X1" s="7">
        <v>42705</v>
      </c>
      <c r="Y1" s="8">
        <v>42736</v>
      </c>
      <c r="Z1" s="8">
        <v>42767</v>
      </c>
      <c r="AA1" s="8">
        <v>42795</v>
      </c>
      <c r="AB1" s="8">
        <v>42826</v>
      </c>
      <c r="AC1" s="8">
        <v>42856</v>
      </c>
      <c r="AD1" s="8">
        <v>42887</v>
      </c>
      <c r="AE1" s="8">
        <v>42917</v>
      </c>
      <c r="AF1" s="8">
        <v>42948</v>
      </c>
      <c r="AG1" s="8">
        <v>42979</v>
      </c>
      <c r="AH1" s="8">
        <v>43009</v>
      </c>
      <c r="AI1" s="8">
        <v>43040</v>
      </c>
      <c r="AJ1" s="8">
        <v>43070</v>
      </c>
      <c r="AK1" s="9">
        <v>43101</v>
      </c>
      <c r="AL1" s="9">
        <v>43132</v>
      </c>
      <c r="AM1" s="9">
        <v>43160</v>
      </c>
      <c r="AN1" s="9">
        <v>43191</v>
      </c>
      <c r="AO1" s="9">
        <v>43221</v>
      </c>
      <c r="AP1" s="9">
        <v>43252</v>
      </c>
      <c r="AQ1" s="9">
        <v>43282</v>
      </c>
      <c r="AR1" s="9">
        <v>43313</v>
      </c>
      <c r="AS1" s="9">
        <v>43344</v>
      </c>
      <c r="AT1" s="9">
        <v>43374</v>
      </c>
      <c r="AU1" s="9">
        <v>43405</v>
      </c>
      <c r="AV1" s="9">
        <v>43435</v>
      </c>
      <c r="AW1" s="10">
        <v>43466</v>
      </c>
      <c r="AX1" s="10">
        <v>43497</v>
      </c>
      <c r="AY1" s="10">
        <v>43525</v>
      </c>
      <c r="AZ1" s="10">
        <v>43556</v>
      </c>
      <c r="BA1" s="10">
        <v>43586</v>
      </c>
      <c r="BB1" s="10">
        <v>43617</v>
      </c>
      <c r="BC1" s="10">
        <v>43647</v>
      </c>
      <c r="BD1" s="10">
        <v>43678</v>
      </c>
      <c r="BE1" s="10">
        <v>43709</v>
      </c>
      <c r="BF1" s="10">
        <v>43739</v>
      </c>
      <c r="BG1" s="10">
        <v>43770</v>
      </c>
      <c r="BH1" s="10">
        <v>43800</v>
      </c>
    </row>
    <row r="2" spans="1:60" ht="15">
      <c r="A2" s="11" t="s">
        <v>12</v>
      </c>
      <c r="B2" s="12" t="s">
        <v>13</v>
      </c>
      <c r="C2" s="13">
        <v>456402</v>
      </c>
      <c r="D2" s="13">
        <f t="shared" ref="D2:D40" si="0">C2-C2*0.15</f>
        <v>387941.7</v>
      </c>
      <c r="E2" s="14">
        <v>850</v>
      </c>
      <c r="F2" s="15">
        <f t="shared" ref="F2:F8" si="1">L2</f>
        <v>30</v>
      </c>
      <c r="G2" s="15">
        <f t="shared" ref="G2:G41" si="2">D2/E2</f>
        <v>456.40199999999999</v>
      </c>
      <c r="H2" s="15">
        <f t="shared" ref="H2:H41" si="3">(D2/E2)/F2</f>
        <v>15.2134</v>
      </c>
      <c r="I2" s="16">
        <f t="shared" ref="I2:I41" si="4">H2/30</f>
        <v>0.5071133333333333</v>
      </c>
      <c r="J2" s="17">
        <v>42549</v>
      </c>
      <c r="K2" s="17">
        <v>43462</v>
      </c>
      <c r="L2" s="18">
        <f t="shared" ref="L2:L14" si="5">DATEDIF(J2,K2,"m")</f>
        <v>30</v>
      </c>
      <c r="M2" s="19"/>
      <c r="N2" s="19"/>
      <c r="O2" s="19"/>
      <c r="P2" s="19"/>
      <c r="Q2" s="19"/>
      <c r="R2" s="19">
        <f t="shared" ref="R2:AU2" si="6">$H2</f>
        <v>15.2134</v>
      </c>
      <c r="S2" s="19">
        <f t="shared" si="6"/>
        <v>15.2134</v>
      </c>
      <c r="T2" s="19">
        <f t="shared" si="6"/>
        <v>15.2134</v>
      </c>
      <c r="U2" s="19">
        <f t="shared" si="6"/>
        <v>15.2134</v>
      </c>
      <c r="V2" s="19">
        <f t="shared" si="6"/>
        <v>15.2134</v>
      </c>
      <c r="W2" s="19">
        <f t="shared" si="6"/>
        <v>15.2134</v>
      </c>
      <c r="X2" s="19">
        <f t="shared" si="6"/>
        <v>15.2134</v>
      </c>
      <c r="Y2" s="19">
        <f t="shared" si="6"/>
        <v>15.2134</v>
      </c>
      <c r="Z2" s="19">
        <f t="shared" si="6"/>
        <v>15.2134</v>
      </c>
      <c r="AA2" s="19">
        <f t="shared" si="6"/>
        <v>15.2134</v>
      </c>
      <c r="AB2" s="19">
        <f t="shared" si="6"/>
        <v>15.2134</v>
      </c>
      <c r="AC2" s="19">
        <f t="shared" si="6"/>
        <v>15.2134</v>
      </c>
      <c r="AD2" s="19">
        <f t="shared" si="6"/>
        <v>15.2134</v>
      </c>
      <c r="AE2" s="19">
        <f t="shared" si="6"/>
        <v>15.2134</v>
      </c>
      <c r="AF2" s="19">
        <f t="shared" si="6"/>
        <v>15.2134</v>
      </c>
      <c r="AG2" s="19">
        <f t="shared" si="6"/>
        <v>15.2134</v>
      </c>
      <c r="AH2" s="19">
        <f t="shared" si="6"/>
        <v>15.2134</v>
      </c>
      <c r="AI2" s="19">
        <f t="shared" si="6"/>
        <v>15.2134</v>
      </c>
      <c r="AJ2" s="19">
        <f t="shared" si="6"/>
        <v>15.2134</v>
      </c>
      <c r="AK2" s="19">
        <f t="shared" si="6"/>
        <v>15.2134</v>
      </c>
      <c r="AL2" s="19">
        <f t="shared" si="6"/>
        <v>15.2134</v>
      </c>
      <c r="AM2" s="19">
        <f t="shared" si="6"/>
        <v>15.2134</v>
      </c>
      <c r="AN2" s="19">
        <f t="shared" si="6"/>
        <v>15.2134</v>
      </c>
      <c r="AO2" s="19">
        <f t="shared" si="6"/>
        <v>15.2134</v>
      </c>
      <c r="AP2" s="19">
        <f t="shared" si="6"/>
        <v>15.2134</v>
      </c>
      <c r="AQ2" s="19">
        <f t="shared" si="6"/>
        <v>15.2134</v>
      </c>
      <c r="AR2" s="19">
        <f t="shared" si="6"/>
        <v>15.2134</v>
      </c>
      <c r="AS2" s="19">
        <f t="shared" si="6"/>
        <v>15.2134</v>
      </c>
      <c r="AT2" s="19">
        <f t="shared" si="6"/>
        <v>15.2134</v>
      </c>
      <c r="AU2" s="19">
        <f t="shared" si="6"/>
        <v>15.2134</v>
      </c>
    </row>
    <row r="3" spans="1:60" ht="15">
      <c r="A3" s="20" t="s">
        <v>14</v>
      </c>
      <c r="B3" s="21" t="s">
        <v>15</v>
      </c>
      <c r="C3" s="22">
        <v>539515.52</v>
      </c>
      <c r="D3" s="22">
        <f t="shared" si="0"/>
        <v>458588.19200000004</v>
      </c>
      <c r="E3" s="23">
        <v>850</v>
      </c>
      <c r="F3" s="16">
        <f t="shared" si="1"/>
        <v>6</v>
      </c>
      <c r="G3" s="16">
        <f t="shared" si="2"/>
        <v>539.51552000000004</v>
      </c>
      <c r="H3" s="16">
        <f t="shared" si="3"/>
        <v>89.919253333333344</v>
      </c>
      <c r="I3" s="16">
        <f t="shared" si="4"/>
        <v>2.9973084444444447</v>
      </c>
      <c r="J3" s="17">
        <v>43279</v>
      </c>
      <c r="K3" s="17">
        <v>43462</v>
      </c>
      <c r="L3" s="24">
        <f t="shared" si="5"/>
        <v>6</v>
      </c>
      <c r="M3" s="19"/>
      <c r="N3" s="19"/>
      <c r="O3" s="19"/>
      <c r="P3" s="19"/>
      <c r="Q3" s="19"/>
      <c r="R3" s="19"/>
      <c r="S3" s="19"/>
      <c r="T3" s="19"/>
      <c r="U3" s="19"/>
      <c r="V3" s="19"/>
      <c r="W3" s="19"/>
      <c r="X3" s="19"/>
    </row>
    <row r="4" spans="1:60" ht="15">
      <c r="A4" s="20" t="s">
        <v>16</v>
      </c>
      <c r="B4" s="25" t="s">
        <v>17</v>
      </c>
      <c r="C4" s="22">
        <v>825340</v>
      </c>
      <c r="D4" s="22">
        <f t="shared" si="0"/>
        <v>701539</v>
      </c>
      <c r="E4" s="23">
        <v>850</v>
      </c>
      <c r="F4" s="16">
        <f t="shared" si="1"/>
        <v>29</v>
      </c>
      <c r="G4" s="16">
        <f t="shared" si="2"/>
        <v>825.34</v>
      </c>
      <c r="H4" s="16">
        <f t="shared" si="3"/>
        <v>28.46</v>
      </c>
      <c r="I4" s="16">
        <f t="shared" si="4"/>
        <v>0.94866666666666666</v>
      </c>
      <c r="J4" s="17">
        <v>42450</v>
      </c>
      <c r="K4" s="17">
        <v>43343</v>
      </c>
      <c r="L4" s="24">
        <f t="shared" si="5"/>
        <v>29</v>
      </c>
      <c r="M4" s="19"/>
      <c r="N4" s="19"/>
      <c r="O4" s="19">
        <f>$I4</f>
        <v>0.94866666666666666</v>
      </c>
      <c r="P4" s="19"/>
      <c r="Q4" s="19"/>
      <c r="R4" s="19"/>
      <c r="S4" s="19"/>
      <c r="T4" s="19"/>
      <c r="U4" s="19"/>
      <c r="V4" s="19"/>
      <c r="W4" s="19"/>
      <c r="X4" s="19"/>
    </row>
    <row r="5" spans="1:60" ht="15">
      <c r="A5" s="20" t="s">
        <v>18</v>
      </c>
      <c r="B5" s="25" t="s">
        <v>19</v>
      </c>
      <c r="C5" s="22">
        <v>713400</v>
      </c>
      <c r="D5" s="22">
        <f t="shared" si="0"/>
        <v>606390</v>
      </c>
      <c r="E5" s="23">
        <v>850</v>
      </c>
      <c r="F5" s="16">
        <f t="shared" si="1"/>
        <v>42</v>
      </c>
      <c r="G5" s="16">
        <f t="shared" si="2"/>
        <v>713.4</v>
      </c>
      <c r="H5" s="16">
        <f t="shared" si="3"/>
        <v>16.985714285714284</v>
      </c>
      <c r="I5" s="16">
        <f t="shared" si="4"/>
        <v>0.56619047619047613</v>
      </c>
      <c r="J5" s="17">
        <v>42513</v>
      </c>
      <c r="K5" s="17">
        <v>43812</v>
      </c>
      <c r="L5" s="24">
        <f t="shared" si="5"/>
        <v>42</v>
      </c>
      <c r="M5" s="19"/>
      <c r="N5" s="19"/>
      <c r="O5" s="19"/>
      <c r="P5" s="19"/>
      <c r="Q5" s="19">
        <f t="shared" ref="Q5:Q6" si="7">$I5</f>
        <v>0.56619047619047613</v>
      </c>
      <c r="R5" s="19"/>
      <c r="S5" s="19"/>
      <c r="T5" s="19"/>
      <c r="U5" s="19"/>
      <c r="V5" s="19"/>
      <c r="W5" s="19"/>
      <c r="X5" s="19"/>
    </row>
    <row r="6" spans="1:60" ht="15">
      <c r="A6" s="20" t="s">
        <v>20</v>
      </c>
      <c r="B6" s="25" t="s">
        <v>21</v>
      </c>
      <c r="C6" s="22">
        <v>713400</v>
      </c>
      <c r="D6" s="22">
        <f t="shared" si="0"/>
        <v>606390</v>
      </c>
      <c r="E6" s="23">
        <v>850</v>
      </c>
      <c r="F6" s="16">
        <f t="shared" si="1"/>
        <v>42</v>
      </c>
      <c r="G6" s="16">
        <f t="shared" si="2"/>
        <v>713.4</v>
      </c>
      <c r="H6" s="16">
        <f t="shared" si="3"/>
        <v>16.985714285714284</v>
      </c>
      <c r="I6" s="16">
        <f t="shared" si="4"/>
        <v>0.56619047619047613</v>
      </c>
      <c r="J6" s="17">
        <v>42506</v>
      </c>
      <c r="K6" s="17">
        <v>43812</v>
      </c>
      <c r="L6" s="24">
        <f t="shared" si="5"/>
        <v>42</v>
      </c>
      <c r="M6" s="19"/>
      <c r="N6" s="19"/>
      <c r="O6" s="19"/>
      <c r="P6" s="19"/>
      <c r="Q6" s="19">
        <f t="shared" si="7"/>
        <v>0.56619047619047613</v>
      </c>
      <c r="R6" s="19"/>
      <c r="S6" s="19"/>
      <c r="T6" s="19"/>
      <c r="U6" s="19"/>
      <c r="V6" s="19"/>
      <c r="W6" s="19"/>
      <c r="X6" s="19"/>
    </row>
    <row r="7" spans="1:60" ht="15">
      <c r="A7" s="20" t="s">
        <v>22</v>
      </c>
      <c r="B7" s="25" t="s">
        <v>23</v>
      </c>
      <c r="C7" s="22">
        <v>1044000</v>
      </c>
      <c r="D7" s="22">
        <f t="shared" si="0"/>
        <v>887400</v>
      </c>
      <c r="E7" s="23">
        <v>850</v>
      </c>
      <c r="F7" s="16">
        <f t="shared" si="1"/>
        <v>5</v>
      </c>
      <c r="G7" s="16">
        <f t="shared" si="2"/>
        <v>1044</v>
      </c>
      <c r="H7" s="16">
        <f t="shared" si="3"/>
        <v>208.8</v>
      </c>
      <c r="I7" s="16">
        <f t="shared" si="4"/>
        <v>6.96</v>
      </c>
      <c r="J7" s="17">
        <v>42128</v>
      </c>
      <c r="K7" s="17">
        <v>42292</v>
      </c>
      <c r="L7" s="24">
        <f t="shared" si="5"/>
        <v>5</v>
      </c>
      <c r="M7" s="19"/>
      <c r="N7" s="19"/>
      <c r="O7" s="19"/>
      <c r="P7" s="19"/>
      <c r="Q7" s="19"/>
      <c r="R7" s="19"/>
      <c r="S7" s="19"/>
      <c r="T7" s="19"/>
      <c r="U7" s="19"/>
      <c r="V7" s="19"/>
      <c r="W7" s="19"/>
      <c r="X7" s="19"/>
    </row>
    <row r="8" spans="1:60" ht="15">
      <c r="A8" s="20" t="s">
        <v>24</v>
      </c>
      <c r="B8" s="25" t="s">
        <v>25</v>
      </c>
      <c r="C8" s="22">
        <v>262392</v>
      </c>
      <c r="D8" s="22">
        <f t="shared" si="0"/>
        <v>223033.2</v>
      </c>
      <c r="E8" s="23">
        <v>850</v>
      </c>
      <c r="F8" s="16">
        <f t="shared" si="1"/>
        <v>29</v>
      </c>
      <c r="G8" s="16">
        <f t="shared" si="2"/>
        <v>262.392</v>
      </c>
      <c r="H8" s="16">
        <f t="shared" si="3"/>
        <v>9.048</v>
      </c>
      <c r="I8" s="16">
        <f t="shared" si="4"/>
        <v>0.30159999999999998</v>
      </c>
      <c r="J8" s="17">
        <v>42370</v>
      </c>
      <c r="K8" s="17">
        <v>43259</v>
      </c>
      <c r="L8" s="24">
        <f t="shared" si="5"/>
        <v>29</v>
      </c>
      <c r="M8" s="19">
        <f t="shared" ref="M8:AO8" si="8">$H8</f>
        <v>9.048</v>
      </c>
      <c r="N8" s="19">
        <f t="shared" si="8"/>
        <v>9.048</v>
      </c>
      <c r="O8" s="19">
        <f t="shared" si="8"/>
        <v>9.048</v>
      </c>
      <c r="P8" s="19">
        <f t="shared" si="8"/>
        <v>9.048</v>
      </c>
      <c r="Q8" s="19">
        <f t="shared" si="8"/>
        <v>9.048</v>
      </c>
      <c r="R8" s="19">
        <f t="shared" si="8"/>
        <v>9.048</v>
      </c>
      <c r="S8" s="19">
        <f t="shared" si="8"/>
        <v>9.048</v>
      </c>
      <c r="T8" s="19">
        <f t="shared" si="8"/>
        <v>9.048</v>
      </c>
      <c r="U8" s="19">
        <f t="shared" si="8"/>
        <v>9.048</v>
      </c>
      <c r="V8" s="19">
        <f t="shared" si="8"/>
        <v>9.048</v>
      </c>
      <c r="W8" s="19">
        <f t="shared" si="8"/>
        <v>9.048</v>
      </c>
      <c r="X8" s="19">
        <f t="shared" si="8"/>
        <v>9.048</v>
      </c>
      <c r="Y8" s="19">
        <f t="shared" si="8"/>
        <v>9.048</v>
      </c>
      <c r="Z8" s="19">
        <f t="shared" si="8"/>
        <v>9.048</v>
      </c>
      <c r="AA8" s="19">
        <f t="shared" si="8"/>
        <v>9.048</v>
      </c>
      <c r="AB8" s="19">
        <f t="shared" si="8"/>
        <v>9.048</v>
      </c>
      <c r="AC8" s="19">
        <f t="shared" si="8"/>
        <v>9.048</v>
      </c>
      <c r="AD8" s="19">
        <f t="shared" si="8"/>
        <v>9.048</v>
      </c>
      <c r="AE8" s="19">
        <f t="shared" si="8"/>
        <v>9.048</v>
      </c>
      <c r="AF8" s="19">
        <f t="shared" si="8"/>
        <v>9.048</v>
      </c>
      <c r="AG8" s="19">
        <f t="shared" si="8"/>
        <v>9.048</v>
      </c>
      <c r="AH8" s="19">
        <f t="shared" si="8"/>
        <v>9.048</v>
      </c>
      <c r="AI8" s="19">
        <f t="shared" si="8"/>
        <v>9.048</v>
      </c>
      <c r="AJ8" s="19">
        <f t="shared" si="8"/>
        <v>9.048</v>
      </c>
      <c r="AK8" s="19">
        <f t="shared" si="8"/>
        <v>9.048</v>
      </c>
      <c r="AL8" s="19">
        <f t="shared" si="8"/>
        <v>9.048</v>
      </c>
      <c r="AM8" s="19">
        <f t="shared" si="8"/>
        <v>9.048</v>
      </c>
      <c r="AN8" s="19">
        <f t="shared" si="8"/>
        <v>9.048</v>
      </c>
      <c r="AO8" s="19">
        <f t="shared" si="8"/>
        <v>9.048</v>
      </c>
    </row>
    <row r="9" spans="1:60" ht="15">
      <c r="A9" s="20" t="s">
        <v>26</v>
      </c>
      <c r="B9" s="21" t="s">
        <v>27</v>
      </c>
      <c r="C9" s="22">
        <v>40600</v>
      </c>
      <c r="D9" s="22">
        <f t="shared" si="0"/>
        <v>34510</v>
      </c>
      <c r="E9" s="23">
        <v>850</v>
      </c>
      <c r="F9" s="16">
        <v>2</v>
      </c>
      <c r="G9" s="16">
        <f t="shared" si="2"/>
        <v>40.6</v>
      </c>
      <c r="H9" s="16">
        <f t="shared" si="3"/>
        <v>20.3</v>
      </c>
      <c r="I9" s="16">
        <f t="shared" si="4"/>
        <v>0.67666666666666664</v>
      </c>
      <c r="J9" s="26">
        <v>0</v>
      </c>
      <c r="K9" s="26">
        <v>0</v>
      </c>
      <c r="L9" s="24">
        <f t="shared" si="5"/>
        <v>0</v>
      </c>
      <c r="M9" s="19"/>
      <c r="N9" s="19"/>
      <c r="O9" s="19"/>
      <c r="P9" s="19"/>
      <c r="Q9" s="19"/>
      <c r="R9" s="19"/>
      <c r="S9" s="19"/>
      <c r="T9" s="19"/>
      <c r="U9" s="19"/>
      <c r="V9" s="19"/>
      <c r="W9" s="19"/>
      <c r="X9" s="19"/>
    </row>
    <row r="10" spans="1:60" ht="15">
      <c r="A10" s="20" t="s">
        <v>28</v>
      </c>
      <c r="B10" s="21" t="s">
        <v>29</v>
      </c>
      <c r="C10" s="22">
        <v>278400</v>
      </c>
      <c r="D10" s="22">
        <f t="shared" si="0"/>
        <v>236640</v>
      </c>
      <c r="E10" s="23">
        <v>850</v>
      </c>
      <c r="F10" s="16">
        <v>12</v>
      </c>
      <c r="G10" s="16">
        <f t="shared" si="2"/>
        <v>278.39999999999998</v>
      </c>
      <c r="H10" s="16">
        <f t="shared" si="3"/>
        <v>23.2</v>
      </c>
      <c r="I10" s="16">
        <f t="shared" si="4"/>
        <v>0.77333333333333332</v>
      </c>
      <c r="J10" s="26">
        <v>0</v>
      </c>
      <c r="K10" s="26">
        <v>0</v>
      </c>
      <c r="L10" s="24">
        <f t="shared" si="5"/>
        <v>0</v>
      </c>
      <c r="M10" s="19"/>
      <c r="N10" s="19"/>
      <c r="O10" s="19"/>
      <c r="P10" s="19"/>
      <c r="Q10" s="19"/>
      <c r="R10" s="19"/>
      <c r="S10" s="19"/>
      <c r="T10" s="19"/>
      <c r="U10" s="19"/>
      <c r="V10" s="19"/>
      <c r="W10" s="19"/>
      <c r="X10" s="19"/>
    </row>
    <row r="11" spans="1:60" ht="15">
      <c r="A11" s="20" t="s">
        <v>30</v>
      </c>
      <c r="B11" s="25" t="s">
        <v>31</v>
      </c>
      <c r="C11" s="22">
        <v>707600</v>
      </c>
      <c r="D11" s="22">
        <f t="shared" si="0"/>
        <v>601460</v>
      </c>
      <c r="E11" s="23">
        <v>850</v>
      </c>
      <c r="F11" s="16">
        <f t="shared" ref="F11:F30" si="9">L11</f>
        <v>41</v>
      </c>
      <c r="G11" s="16">
        <f t="shared" si="2"/>
        <v>707.6</v>
      </c>
      <c r="H11" s="16">
        <f t="shared" si="3"/>
        <v>17.258536585365853</v>
      </c>
      <c r="I11" s="16">
        <f t="shared" si="4"/>
        <v>0.57528455284552849</v>
      </c>
      <c r="J11" s="17">
        <v>42095</v>
      </c>
      <c r="K11" s="17">
        <v>43357</v>
      </c>
      <c r="L11" s="24">
        <f t="shared" si="5"/>
        <v>41</v>
      </c>
      <c r="M11" s="19"/>
      <c r="N11" s="19"/>
      <c r="O11" s="19"/>
      <c r="P11" s="19"/>
      <c r="Q11" s="19"/>
      <c r="R11" s="19"/>
      <c r="S11" s="19"/>
      <c r="T11" s="19"/>
      <c r="U11" s="19"/>
      <c r="V11" s="19"/>
      <c r="W11" s="19"/>
      <c r="X11" s="19"/>
    </row>
    <row r="12" spans="1:60" ht="15">
      <c r="A12" s="20" t="s">
        <v>32</v>
      </c>
      <c r="B12" s="25" t="s">
        <v>33</v>
      </c>
      <c r="C12" s="22">
        <v>5059276.2</v>
      </c>
      <c r="D12" s="22">
        <f t="shared" si="0"/>
        <v>4300384.7700000005</v>
      </c>
      <c r="E12" s="23">
        <v>850</v>
      </c>
      <c r="F12" s="16">
        <f t="shared" si="9"/>
        <v>24</v>
      </c>
      <c r="G12" s="16">
        <f t="shared" si="2"/>
        <v>5059.2762000000002</v>
      </c>
      <c r="H12" s="16">
        <f t="shared" si="3"/>
        <v>210.80317500000001</v>
      </c>
      <c r="I12" s="16">
        <f t="shared" si="4"/>
        <v>7.0267725000000008</v>
      </c>
      <c r="J12" s="17">
        <v>42646</v>
      </c>
      <c r="K12" s="17">
        <v>43402</v>
      </c>
      <c r="L12" s="24">
        <f t="shared" si="5"/>
        <v>24</v>
      </c>
      <c r="M12" s="19"/>
      <c r="N12" s="19"/>
      <c r="O12" s="19"/>
      <c r="P12" s="19"/>
      <c r="Q12" s="19"/>
      <c r="R12" s="19"/>
      <c r="S12" s="19"/>
      <c r="T12" s="19"/>
      <c r="U12" s="19"/>
      <c r="V12" s="19">
        <f>$I12</f>
        <v>7.0267725000000008</v>
      </c>
      <c r="W12" s="19"/>
      <c r="X12" s="19"/>
    </row>
    <row r="13" spans="1:60" ht="15">
      <c r="A13" s="20" t="s">
        <v>34</v>
      </c>
      <c r="B13" s="25" t="s">
        <v>35</v>
      </c>
      <c r="C13" s="22">
        <v>265956</v>
      </c>
      <c r="D13" s="22">
        <f t="shared" si="0"/>
        <v>226062.6</v>
      </c>
      <c r="E13" s="23">
        <v>850</v>
      </c>
      <c r="F13" s="16">
        <f t="shared" si="9"/>
        <v>16</v>
      </c>
      <c r="G13" s="16">
        <f t="shared" si="2"/>
        <v>265.95600000000002</v>
      </c>
      <c r="H13" s="16">
        <f t="shared" si="3"/>
        <v>16.622250000000001</v>
      </c>
      <c r="I13" s="16">
        <f t="shared" si="4"/>
        <v>0.55407499999999998</v>
      </c>
      <c r="J13" s="17">
        <v>42737</v>
      </c>
      <c r="K13" s="17">
        <v>43251</v>
      </c>
      <c r="L13" s="24">
        <f t="shared" si="5"/>
        <v>16</v>
      </c>
      <c r="M13" s="19"/>
      <c r="N13" s="19"/>
      <c r="O13" s="19"/>
      <c r="P13" s="19"/>
      <c r="Q13" s="19"/>
      <c r="R13" s="19"/>
      <c r="S13" s="19"/>
      <c r="T13" s="19"/>
      <c r="U13" s="19"/>
      <c r="V13" s="19"/>
      <c r="W13" s="19"/>
      <c r="X13" s="19"/>
      <c r="Z13" s="19">
        <f t="shared" ref="Z13:AO13" si="10">$I$13</f>
        <v>0.55407499999999998</v>
      </c>
      <c r="AA13" s="19">
        <f t="shared" si="10"/>
        <v>0.55407499999999998</v>
      </c>
      <c r="AB13" s="19">
        <f t="shared" si="10"/>
        <v>0.55407499999999998</v>
      </c>
      <c r="AC13" s="19">
        <f t="shared" si="10"/>
        <v>0.55407499999999998</v>
      </c>
      <c r="AD13" s="19">
        <f t="shared" si="10"/>
        <v>0.55407499999999998</v>
      </c>
      <c r="AE13" s="19">
        <f t="shared" si="10"/>
        <v>0.55407499999999998</v>
      </c>
      <c r="AF13" s="19">
        <f t="shared" si="10"/>
        <v>0.55407499999999998</v>
      </c>
      <c r="AG13" s="19">
        <f t="shared" si="10"/>
        <v>0.55407499999999998</v>
      </c>
      <c r="AH13" s="19">
        <f t="shared" si="10"/>
        <v>0.55407499999999998</v>
      </c>
      <c r="AI13" s="19">
        <f t="shared" si="10"/>
        <v>0.55407499999999998</v>
      </c>
      <c r="AJ13" s="19">
        <f t="shared" si="10"/>
        <v>0.55407499999999998</v>
      </c>
      <c r="AK13" s="19">
        <f t="shared" si="10"/>
        <v>0.55407499999999998</v>
      </c>
      <c r="AL13" s="19">
        <f t="shared" si="10"/>
        <v>0.55407499999999998</v>
      </c>
      <c r="AM13" s="19">
        <f t="shared" si="10"/>
        <v>0.55407499999999998</v>
      </c>
      <c r="AN13" s="19">
        <f t="shared" si="10"/>
        <v>0.55407499999999998</v>
      </c>
      <c r="AO13" s="19">
        <f t="shared" si="10"/>
        <v>0.55407499999999998</v>
      </c>
    </row>
    <row r="14" spans="1:60" ht="15">
      <c r="A14" s="20" t="s">
        <v>36</v>
      </c>
      <c r="B14" s="25" t="s">
        <v>37</v>
      </c>
      <c r="C14" s="22">
        <v>645468.75</v>
      </c>
      <c r="D14" s="22">
        <f t="shared" si="0"/>
        <v>548648.4375</v>
      </c>
      <c r="E14" s="23">
        <v>850</v>
      </c>
      <c r="F14" s="16">
        <f t="shared" si="9"/>
        <v>25</v>
      </c>
      <c r="G14" s="16">
        <f t="shared" si="2"/>
        <v>645.46875</v>
      </c>
      <c r="H14" s="16">
        <f t="shared" si="3"/>
        <v>25.818750000000001</v>
      </c>
      <c r="I14" s="16">
        <f t="shared" si="4"/>
        <v>0.86062500000000008</v>
      </c>
      <c r="J14" s="17">
        <v>43045</v>
      </c>
      <c r="K14" s="17">
        <v>43819</v>
      </c>
      <c r="L14" s="24">
        <f t="shared" si="5"/>
        <v>25</v>
      </c>
      <c r="M14" s="19"/>
      <c r="N14" s="19"/>
      <c r="O14" s="19"/>
      <c r="P14" s="19"/>
      <c r="Q14" s="19"/>
      <c r="R14" s="19"/>
      <c r="S14" s="19"/>
      <c r="T14" s="19"/>
      <c r="U14" s="19"/>
      <c r="V14" s="19"/>
      <c r="W14" s="19"/>
      <c r="X14" s="19"/>
    </row>
    <row r="15" spans="1:60" ht="15">
      <c r="A15" s="20" t="s">
        <v>38</v>
      </c>
      <c r="B15" s="21" t="s">
        <v>39</v>
      </c>
      <c r="C15" s="22">
        <v>2727160</v>
      </c>
      <c r="D15" s="22">
        <f t="shared" si="0"/>
        <v>2318086</v>
      </c>
      <c r="E15" s="23">
        <v>850</v>
      </c>
      <c r="F15" s="16">
        <f t="shared" si="9"/>
        <v>24</v>
      </c>
      <c r="G15" s="16">
        <f t="shared" si="2"/>
        <v>2727.16</v>
      </c>
      <c r="H15" s="16">
        <f t="shared" si="3"/>
        <v>113.63166666666666</v>
      </c>
      <c r="I15" s="16">
        <f t="shared" si="4"/>
        <v>3.787722222222222</v>
      </c>
      <c r="J15" s="17">
        <v>42492</v>
      </c>
      <c r="K15" s="26" t="s">
        <v>40</v>
      </c>
      <c r="L15" s="24">
        <v>24</v>
      </c>
      <c r="M15" s="19"/>
      <c r="N15" s="19"/>
      <c r="O15" s="19"/>
      <c r="P15" s="19"/>
      <c r="Q15" s="19">
        <f>$I15</f>
        <v>3.787722222222222</v>
      </c>
      <c r="R15" s="19"/>
      <c r="S15" s="19"/>
      <c r="T15" s="19"/>
      <c r="U15" s="19"/>
      <c r="V15" s="19"/>
      <c r="W15" s="19"/>
      <c r="X15" s="19"/>
    </row>
    <row r="16" spans="1:60" ht="15">
      <c r="A16" s="20" t="s">
        <v>41</v>
      </c>
      <c r="B16" s="25" t="s">
        <v>42</v>
      </c>
      <c r="C16" s="22">
        <v>1001863</v>
      </c>
      <c r="D16" s="22">
        <f t="shared" si="0"/>
        <v>851583.55</v>
      </c>
      <c r="E16" s="23">
        <v>850</v>
      </c>
      <c r="F16" s="16">
        <f t="shared" si="9"/>
        <v>19</v>
      </c>
      <c r="G16" s="16">
        <f t="shared" si="2"/>
        <v>1001.8630000000001</v>
      </c>
      <c r="H16" s="16">
        <f t="shared" si="3"/>
        <v>52.72963157894737</v>
      </c>
      <c r="I16" s="16">
        <f t="shared" si="4"/>
        <v>1.7576543859649123</v>
      </c>
      <c r="J16" s="17">
        <v>42744</v>
      </c>
      <c r="K16" s="17">
        <v>43329</v>
      </c>
      <c r="L16" s="24">
        <f t="shared" ref="L16:L18" si="11">DATEDIF(J16,K16,"m")</f>
        <v>19</v>
      </c>
      <c r="M16" s="19"/>
      <c r="N16" s="19"/>
      <c r="O16" s="19"/>
      <c r="P16" s="19"/>
      <c r="Q16" s="19"/>
      <c r="R16" s="19"/>
      <c r="S16" s="19"/>
      <c r="T16" s="19"/>
      <c r="U16" s="19"/>
      <c r="V16" s="19"/>
      <c r="W16" s="19"/>
      <c r="X16" s="19"/>
    </row>
    <row r="17" spans="1:24" ht="15">
      <c r="A17" s="20" t="s">
        <v>43</v>
      </c>
      <c r="B17" s="25" t="s">
        <v>44</v>
      </c>
      <c r="C17" s="22">
        <v>266949.94</v>
      </c>
      <c r="D17" s="22">
        <f t="shared" si="0"/>
        <v>226907.44899999999</v>
      </c>
      <c r="E17" s="23">
        <v>850</v>
      </c>
      <c r="F17" s="16">
        <f t="shared" si="9"/>
        <v>37</v>
      </c>
      <c r="G17" s="16">
        <f t="shared" si="2"/>
        <v>266.94993999999997</v>
      </c>
      <c r="H17" s="16">
        <f t="shared" si="3"/>
        <v>7.2148632432432427</v>
      </c>
      <c r="I17" s="16">
        <f t="shared" si="4"/>
        <v>0.24049544144144142</v>
      </c>
      <c r="J17" s="17">
        <v>42685</v>
      </c>
      <c r="K17" s="17">
        <v>43830</v>
      </c>
      <c r="L17" s="24">
        <f t="shared" si="11"/>
        <v>37</v>
      </c>
      <c r="M17" s="19"/>
      <c r="N17" s="19"/>
      <c r="O17" s="19"/>
      <c r="P17" s="19"/>
      <c r="Q17" s="19"/>
      <c r="R17" s="19"/>
      <c r="S17" s="19"/>
      <c r="T17" s="19"/>
      <c r="U17" s="19"/>
      <c r="V17" s="19"/>
      <c r="W17" s="19">
        <f>$I17</f>
        <v>0.24049544144144142</v>
      </c>
      <c r="X17" s="19"/>
    </row>
    <row r="18" spans="1:24" ht="15">
      <c r="A18" s="20" t="s">
        <v>45</v>
      </c>
      <c r="B18" s="25" t="s">
        <v>46</v>
      </c>
      <c r="C18" s="22">
        <v>418000.06</v>
      </c>
      <c r="D18" s="22">
        <f t="shared" si="0"/>
        <v>355300.05099999998</v>
      </c>
      <c r="E18" s="23">
        <v>850</v>
      </c>
      <c r="F18" s="16">
        <f t="shared" si="9"/>
        <v>20</v>
      </c>
      <c r="G18" s="16">
        <f t="shared" si="2"/>
        <v>418.00005999999996</v>
      </c>
      <c r="H18" s="16">
        <f t="shared" si="3"/>
        <v>20.900002999999998</v>
      </c>
      <c r="I18" s="16">
        <f t="shared" si="4"/>
        <v>0.6966667666666666</v>
      </c>
      <c r="J18" s="17">
        <v>43220</v>
      </c>
      <c r="K18" s="17">
        <v>43829</v>
      </c>
      <c r="L18" s="24">
        <f t="shared" si="11"/>
        <v>20</v>
      </c>
      <c r="M18" s="19"/>
      <c r="N18" s="19"/>
      <c r="O18" s="19"/>
      <c r="P18" s="19"/>
      <c r="Q18" s="19"/>
      <c r="R18" s="19"/>
      <c r="S18" s="19"/>
      <c r="T18" s="19"/>
      <c r="U18" s="19"/>
      <c r="V18" s="19"/>
      <c r="W18" s="19"/>
      <c r="X18" s="19"/>
    </row>
    <row r="19" spans="1:24" ht="15">
      <c r="A19" s="20" t="s">
        <v>47</v>
      </c>
      <c r="B19" s="25" t="s">
        <v>48</v>
      </c>
      <c r="C19" s="22">
        <v>376822</v>
      </c>
      <c r="D19" s="22">
        <f t="shared" si="0"/>
        <v>320298.7</v>
      </c>
      <c r="E19" s="23">
        <v>850</v>
      </c>
      <c r="F19" s="16">
        <f t="shared" si="9"/>
        <v>0</v>
      </c>
      <c r="G19" s="16">
        <f t="shared" si="2"/>
        <v>376.822</v>
      </c>
      <c r="H19" s="16" t="e">
        <f>(D19/E19)/F19</f>
        <v>#DIV/0!</v>
      </c>
      <c r="I19" s="16" t="e">
        <f>H19/30</f>
        <v>#DIV/0!</v>
      </c>
      <c r="J19" s="26" t="s">
        <v>49</v>
      </c>
      <c r="K19" s="26" t="s">
        <v>50</v>
      </c>
      <c r="L19" s="24"/>
      <c r="M19" s="19"/>
      <c r="N19" s="19"/>
      <c r="O19" s="19"/>
      <c r="P19" s="19"/>
      <c r="Q19" s="19"/>
      <c r="R19" s="19"/>
      <c r="S19" s="19"/>
      <c r="T19" s="19"/>
      <c r="U19" s="19"/>
      <c r="V19" s="19"/>
      <c r="W19" s="19"/>
      <c r="X19" s="19"/>
    </row>
    <row r="20" spans="1:24" ht="15">
      <c r="A20" s="20" t="s">
        <v>51</v>
      </c>
      <c r="B20" s="25" t="s">
        <v>52</v>
      </c>
      <c r="C20" s="22">
        <v>285000.06</v>
      </c>
      <c r="D20" s="22">
        <f t="shared" si="0"/>
        <v>242250.05100000001</v>
      </c>
      <c r="E20" s="23">
        <v>850</v>
      </c>
      <c r="F20" s="16">
        <f t="shared" si="9"/>
        <v>20</v>
      </c>
      <c r="G20" s="16">
        <f t="shared" si="2"/>
        <v>285.00006000000002</v>
      </c>
      <c r="H20" s="16">
        <f t="shared" si="3"/>
        <v>14.250003000000001</v>
      </c>
      <c r="I20" s="16">
        <f t="shared" si="4"/>
        <v>0.47500010000000004</v>
      </c>
      <c r="J20" s="17">
        <v>42948</v>
      </c>
      <c r="K20" s="17">
        <v>43585</v>
      </c>
      <c r="L20" s="24">
        <f t="shared" ref="L20:L41" si="12">DATEDIF(J20,K20,"m")</f>
        <v>20</v>
      </c>
      <c r="M20" s="19"/>
      <c r="N20" s="19"/>
      <c r="O20" s="19"/>
      <c r="P20" s="19"/>
      <c r="Q20" s="19"/>
      <c r="R20" s="19"/>
      <c r="S20" s="19"/>
      <c r="T20" s="19"/>
      <c r="U20" s="19"/>
      <c r="V20" s="19"/>
      <c r="W20" s="19"/>
      <c r="X20" s="19"/>
    </row>
    <row r="21" spans="1:24" ht="15">
      <c r="A21" s="20" t="s">
        <v>53</v>
      </c>
      <c r="B21" s="25" t="s">
        <v>54</v>
      </c>
      <c r="C21" s="22">
        <v>638000</v>
      </c>
      <c r="D21" s="22">
        <f t="shared" si="0"/>
        <v>542300</v>
      </c>
      <c r="E21" s="23">
        <v>850</v>
      </c>
      <c r="F21" s="16">
        <f t="shared" si="9"/>
        <v>10</v>
      </c>
      <c r="G21" s="16">
        <f t="shared" si="2"/>
        <v>638</v>
      </c>
      <c r="H21" s="16">
        <f t="shared" si="3"/>
        <v>63.8</v>
      </c>
      <c r="I21" s="16">
        <f t="shared" si="4"/>
        <v>2.1266666666666665</v>
      </c>
      <c r="J21" s="17">
        <v>42975</v>
      </c>
      <c r="K21" s="17">
        <v>43280</v>
      </c>
      <c r="L21" s="24">
        <f t="shared" si="12"/>
        <v>10</v>
      </c>
      <c r="M21" s="19"/>
      <c r="N21" s="19"/>
      <c r="O21" s="19"/>
      <c r="P21" s="19"/>
      <c r="Q21" s="19"/>
      <c r="R21" s="19"/>
      <c r="S21" s="19"/>
      <c r="T21" s="19"/>
      <c r="U21" s="19"/>
      <c r="V21" s="19"/>
      <c r="W21" s="19"/>
      <c r="X21" s="19"/>
    </row>
    <row r="22" spans="1:24" ht="15">
      <c r="A22" s="20" t="s">
        <v>55</v>
      </c>
      <c r="B22" s="3" t="s">
        <v>56</v>
      </c>
      <c r="C22" s="22">
        <v>188673.8</v>
      </c>
      <c r="D22" s="22">
        <f t="shared" si="0"/>
        <v>160372.72999999998</v>
      </c>
      <c r="E22" s="23">
        <v>850</v>
      </c>
      <c r="F22" s="16">
        <f t="shared" si="9"/>
        <v>25</v>
      </c>
      <c r="G22" s="16">
        <f t="shared" si="2"/>
        <v>188.67379999999997</v>
      </c>
      <c r="H22" s="16">
        <f t="shared" si="3"/>
        <v>7.5469519999999992</v>
      </c>
      <c r="I22" s="16">
        <f t="shared" si="4"/>
        <v>0.25156506666666661</v>
      </c>
      <c r="J22" s="17">
        <v>42704</v>
      </c>
      <c r="K22" s="17">
        <v>43465</v>
      </c>
      <c r="L22" s="24">
        <f t="shared" si="12"/>
        <v>25</v>
      </c>
      <c r="M22" s="19"/>
      <c r="N22" s="19"/>
      <c r="O22" s="19"/>
      <c r="P22" s="19"/>
      <c r="Q22" s="19"/>
      <c r="R22" s="19"/>
      <c r="S22" s="19"/>
      <c r="T22" s="19"/>
      <c r="U22" s="19"/>
      <c r="V22" s="19"/>
      <c r="W22" s="19"/>
      <c r="X22" s="19"/>
    </row>
    <row r="23" spans="1:24" ht="15">
      <c r="A23" s="20" t="s">
        <v>57</v>
      </c>
      <c r="B23" s="25" t="s">
        <v>58</v>
      </c>
      <c r="C23" s="22">
        <v>503920.24</v>
      </c>
      <c r="D23" s="22">
        <f t="shared" si="0"/>
        <v>428332.20400000003</v>
      </c>
      <c r="E23" s="23">
        <v>850</v>
      </c>
      <c r="F23" s="16">
        <f t="shared" si="9"/>
        <v>7</v>
      </c>
      <c r="G23" s="16">
        <f t="shared" si="2"/>
        <v>503.92024000000004</v>
      </c>
      <c r="H23" s="16">
        <f t="shared" si="3"/>
        <v>71.988605714285725</v>
      </c>
      <c r="I23" s="16">
        <f t="shared" si="4"/>
        <v>2.3996201904761909</v>
      </c>
      <c r="J23" s="17">
        <v>43102</v>
      </c>
      <c r="K23" s="17">
        <v>43329</v>
      </c>
      <c r="L23" s="24">
        <f t="shared" si="12"/>
        <v>7</v>
      </c>
      <c r="M23" s="19"/>
      <c r="N23" s="19"/>
      <c r="O23" s="19"/>
      <c r="P23" s="19"/>
      <c r="Q23" s="19"/>
      <c r="R23" s="19"/>
      <c r="S23" s="19"/>
      <c r="T23" s="19"/>
      <c r="U23" s="19"/>
      <c r="V23" s="19"/>
      <c r="W23" s="19"/>
      <c r="X23" s="19"/>
    </row>
    <row r="24" spans="1:24" ht="15">
      <c r="A24" s="20" t="s">
        <v>59</v>
      </c>
      <c r="B24" s="25" t="s">
        <v>60</v>
      </c>
      <c r="C24" s="22">
        <v>261000</v>
      </c>
      <c r="D24" s="22">
        <f t="shared" si="0"/>
        <v>221850</v>
      </c>
      <c r="E24" s="23">
        <v>850</v>
      </c>
      <c r="F24" s="16">
        <f t="shared" si="9"/>
        <v>2</v>
      </c>
      <c r="G24" s="16">
        <f t="shared" si="2"/>
        <v>261</v>
      </c>
      <c r="H24" s="16">
        <f t="shared" si="3"/>
        <v>130.5</v>
      </c>
      <c r="I24" s="16">
        <f t="shared" si="4"/>
        <v>4.3499999999999996</v>
      </c>
      <c r="J24" s="17">
        <v>43080</v>
      </c>
      <c r="K24" s="17">
        <v>43168</v>
      </c>
      <c r="L24" s="24">
        <f t="shared" si="12"/>
        <v>2</v>
      </c>
      <c r="M24" s="19"/>
      <c r="N24" s="19"/>
      <c r="O24" s="19"/>
      <c r="P24" s="19"/>
      <c r="Q24" s="19"/>
      <c r="R24" s="19"/>
      <c r="S24" s="19"/>
      <c r="T24" s="19"/>
      <c r="U24" s="19"/>
      <c r="V24" s="19"/>
      <c r="W24" s="19"/>
      <c r="X24" s="19"/>
    </row>
    <row r="25" spans="1:24" ht="15">
      <c r="A25" s="20" t="s">
        <v>61</v>
      </c>
      <c r="B25" s="25" t="s">
        <v>62</v>
      </c>
      <c r="C25" s="22">
        <v>185600</v>
      </c>
      <c r="D25" s="22">
        <f t="shared" si="0"/>
        <v>157760</v>
      </c>
      <c r="E25" s="23">
        <v>850</v>
      </c>
      <c r="F25" s="16">
        <f t="shared" si="9"/>
        <v>4</v>
      </c>
      <c r="G25" s="16">
        <f t="shared" si="2"/>
        <v>185.6</v>
      </c>
      <c r="H25" s="16">
        <f t="shared" si="3"/>
        <v>46.4</v>
      </c>
      <c r="I25" s="16">
        <f t="shared" si="4"/>
        <v>1.5466666666666666</v>
      </c>
      <c r="J25" s="17">
        <v>43137</v>
      </c>
      <c r="K25" s="17">
        <v>43259</v>
      </c>
      <c r="L25" s="24">
        <f t="shared" si="12"/>
        <v>4</v>
      </c>
      <c r="M25" s="19"/>
      <c r="N25" s="19"/>
      <c r="O25" s="19"/>
      <c r="P25" s="19"/>
      <c r="Q25" s="19"/>
      <c r="R25" s="19"/>
      <c r="S25" s="19"/>
      <c r="T25" s="19"/>
      <c r="U25" s="19"/>
      <c r="V25" s="19"/>
      <c r="W25" s="19"/>
      <c r="X25" s="19"/>
    </row>
    <row r="26" spans="1:24" ht="15">
      <c r="A26" s="20" t="s">
        <v>63</v>
      </c>
      <c r="B26" s="25" t="s">
        <v>64</v>
      </c>
      <c r="C26" s="22">
        <v>603200</v>
      </c>
      <c r="D26" s="22">
        <f t="shared" si="0"/>
        <v>512720</v>
      </c>
      <c r="E26" s="23">
        <v>850</v>
      </c>
      <c r="F26" s="16">
        <f t="shared" si="9"/>
        <v>8</v>
      </c>
      <c r="G26" s="16">
        <f t="shared" si="2"/>
        <v>603.20000000000005</v>
      </c>
      <c r="H26" s="16">
        <f t="shared" si="3"/>
        <v>75.400000000000006</v>
      </c>
      <c r="I26" s="16">
        <f t="shared" si="4"/>
        <v>2.5133333333333336</v>
      </c>
      <c r="J26" s="17">
        <v>43073</v>
      </c>
      <c r="K26" s="17">
        <v>43329</v>
      </c>
      <c r="L26" s="24">
        <f t="shared" si="12"/>
        <v>8</v>
      </c>
      <c r="M26" s="19"/>
      <c r="N26" s="19"/>
      <c r="O26" s="19"/>
      <c r="P26" s="19"/>
      <c r="Q26" s="19"/>
      <c r="R26" s="19"/>
      <c r="S26" s="19"/>
      <c r="T26" s="19"/>
      <c r="U26" s="19"/>
      <c r="V26" s="19"/>
      <c r="W26" s="19"/>
      <c r="X26" s="19"/>
    </row>
    <row r="27" spans="1:24" ht="15">
      <c r="A27" s="20" t="s">
        <v>65</v>
      </c>
      <c r="B27" s="25" t="s">
        <v>66</v>
      </c>
      <c r="C27" s="22">
        <v>191900</v>
      </c>
      <c r="D27" s="22">
        <f t="shared" si="0"/>
        <v>163115</v>
      </c>
      <c r="E27" s="23">
        <v>850</v>
      </c>
      <c r="F27" s="16">
        <f t="shared" si="9"/>
        <v>13</v>
      </c>
      <c r="G27" s="16">
        <f t="shared" si="2"/>
        <v>191.9</v>
      </c>
      <c r="H27" s="16">
        <f t="shared" si="3"/>
        <v>14.761538461538462</v>
      </c>
      <c r="I27" s="16">
        <f t="shared" si="4"/>
        <v>0.49205128205128207</v>
      </c>
      <c r="J27" s="17">
        <v>43132</v>
      </c>
      <c r="K27" s="17">
        <v>43554</v>
      </c>
      <c r="L27" s="24">
        <f t="shared" si="12"/>
        <v>13</v>
      </c>
      <c r="M27" s="19"/>
      <c r="N27" s="19"/>
      <c r="O27" s="19"/>
      <c r="P27" s="19"/>
      <c r="Q27" s="19"/>
      <c r="R27" s="19"/>
      <c r="S27" s="19"/>
      <c r="T27" s="19"/>
      <c r="U27" s="19"/>
      <c r="V27" s="19"/>
      <c r="W27" s="19"/>
      <c r="X27" s="19"/>
    </row>
    <row r="28" spans="1:24" ht="15">
      <c r="A28" s="20" t="s">
        <v>67</v>
      </c>
      <c r="B28" s="21" t="s">
        <v>68</v>
      </c>
      <c r="C28" s="22">
        <v>53200</v>
      </c>
      <c r="D28" s="22">
        <f t="shared" si="0"/>
        <v>45220</v>
      </c>
      <c r="E28" s="23">
        <v>850</v>
      </c>
      <c r="F28" s="16">
        <f t="shared" si="9"/>
        <v>13</v>
      </c>
      <c r="G28" s="16">
        <f t="shared" si="2"/>
        <v>53.2</v>
      </c>
      <c r="H28" s="16">
        <f t="shared" si="3"/>
        <v>4.0923076923076929</v>
      </c>
      <c r="I28" s="16">
        <f t="shared" si="4"/>
        <v>0.13641025641025642</v>
      </c>
      <c r="J28" s="17">
        <v>43132</v>
      </c>
      <c r="K28" s="17">
        <v>43554</v>
      </c>
      <c r="L28" s="24">
        <f t="shared" si="12"/>
        <v>13</v>
      </c>
      <c r="M28" s="19"/>
      <c r="N28" s="19"/>
      <c r="O28" s="19"/>
      <c r="P28" s="19"/>
      <c r="Q28" s="19"/>
      <c r="R28" s="19"/>
      <c r="S28" s="19"/>
      <c r="T28" s="19"/>
      <c r="U28" s="19"/>
      <c r="V28" s="19"/>
      <c r="W28" s="19"/>
      <c r="X28" s="19"/>
    </row>
    <row r="29" spans="1:24" ht="15">
      <c r="A29" s="20" t="s">
        <v>69</v>
      </c>
      <c r="B29" s="25" t="s">
        <v>70</v>
      </c>
      <c r="C29" s="22">
        <v>348000</v>
      </c>
      <c r="D29" s="22">
        <f t="shared" si="0"/>
        <v>295800</v>
      </c>
      <c r="E29" s="23">
        <v>850</v>
      </c>
      <c r="F29" s="16">
        <f t="shared" si="9"/>
        <v>5</v>
      </c>
      <c r="G29" s="16">
        <f t="shared" si="2"/>
        <v>348</v>
      </c>
      <c r="H29" s="16">
        <f t="shared" si="3"/>
        <v>69.599999999999994</v>
      </c>
      <c r="I29" s="16">
        <f t="shared" si="4"/>
        <v>2.3199999999999998</v>
      </c>
      <c r="J29" s="17">
        <v>43160</v>
      </c>
      <c r="K29" s="17">
        <v>43343</v>
      </c>
      <c r="L29" s="24">
        <f t="shared" si="12"/>
        <v>5</v>
      </c>
      <c r="M29" s="19"/>
      <c r="N29" s="19"/>
      <c r="O29" s="19"/>
      <c r="P29" s="19"/>
      <c r="Q29" s="19"/>
      <c r="R29" s="19"/>
      <c r="S29" s="19"/>
      <c r="T29" s="19"/>
      <c r="U29" s="19"/>
      <c r="V29" s="19"/>
      <c r="W29" s="19"/>
      <c r="X29" s="19"/>
    </row>
    <row r="30" spans="1:24" ht="15">
      <c r="A30" s="20" t="s">
        <v>71</v>
      </c>
      <c r="B30" s="21" t="s">
        <v>72</v>
      </c>
      <c r="C30" s="22">
        <v>168200</v>
      </c>
      <c r="D30" s="22">
        <f t="shared" si="0"/>
        <v>142970</v>
      </c>
      <c r="E30" s="23">
        <v>850</v>
      </c>
      <c r="F30" s="16">
        <f t="shared" si="9"/>
        <v>2</v>
      </c>
      <c r="G30" s="16">
        <f t="shared" si="2"/>
        <v>168.2</v>
      </c>
      <c r="H30" s="16">
        <f t="shared" si="3"/>
        <v>84.1</v>
      </c>
      <c r="I30" s="16">
        <f t="shared" si="4"/>
        <v>2.8033333333333332</v>
      </c>
      <c r="J30" s="17">
        <v>43147</v>
      </c>
      <c r="K30" s="17">
        <v>43220</v>
      </c>
      <c r="L30" s="24">
        <f t="shared" si="12"/>
        <v>2</v>
      </c>
      <c r="M30" s="19"/>
      <c r="N30" s="19"/>
      <c r="O30" s="19"/>
      <c r="P30" s="19"/>
      <c r="Q30" s="19"/>
      <c r="R30" s="19"/>
      <c r="S30" s="19"/>
      <c r="T30" s="19"/>
      <c r="U30" s="19"/>
      <c r="V30" s="19"/>
      <c r="W30" s="19"/>
      <c r="X30" s="19"/>
    </row>
    <row r="31" spans="1:24" ht="15">
      <c r="A31" s="20" t="s">
        <v>73</v>
      </c>
      <c r="B31" s="25" t="s">
        <v>74</v>
      </c>
      <c r="C31" s="22">
        <v>81200</v>
      </c>
      <c r="D31" s="22">
        <f t="shared" si="0"/>
        <v>69020</v>
      </c>
      <c r="E31" s="23">
        <v>850</v>
      </c>
      <c r="F31" s="16">
        <v>1</v>
      </c>
      <c r="G31" s="16">
        <f t="shared" si="2"/>
        <v>81.2</v>
      </c>
      <c r="H31" s="16">
        <f t="shared" si="3"/>
        <v>81.2</v>
      </c>
      <c r="I31" s="16">
        <f t="shared" si="4"/>
        <v>2.7066666666666666</v>
      </c>
      <c r="J31" s="17">
        <v>43157</v>
      </c>
      <c r="K31" s="17">
        <v>43175</v>
      </c>
      <c r="L31" s="24">
        <f t="shared" si="12"/>
        <v>0</v>
      </c>
      <c r="M31" s="19"/>
      <c r="N31" s="19"/>
      <c r="O31" s="19"/>
      <c r="P31" s="19"/>
      <c r="Q31" s="19"/>
      <c r="R31" s="19"/>
      <c r="S31" s="19"/>
      <c r="T31" s="19"/>
      <c r="U31" s="19"/>
      <c r="V31" s="19"/>
      <c r="W31" s="19"/>
      <c r="X31" s="19"/>
    </row>
    <row r="32" spans="1:24" ht="15">
      <c r="A32" s="20" t="s">
        <v>75</v>
      </c>
      <c r="B32" s="25" t="s">
        <v>76</v>
      </c>
      <c r="C32" s="22">
        <v>234900</v>
      </c>
      <c r="D32" s="22">
        <f t="shared" si="0"/>
        <v>199665</v>
      </c>
      <c r="E32" s="23">
        <v>850</v>
      </c>
      <c r="F32" s="16">
        <f t="shared" ref="F32:F33" si="13">L32</f>
        <v>1</v>
      </c>
      <c r="G32" s="16">
        <f t="shared" si="2"/>
        <v>234.9</v>
      </c>
      <c r="H32" s="16">
        <f t="shared" si="3"/>
        <v>234.9</v>
      </c>
      <c r="I32" s="16">
        <f t="shared" si="4"/>
        <v>7.83</v>
      </c>
      <c r="J32" s="17">
        <v>43213</v>
      </c>
      <c r="K32" s="17">
        <v>43266</v>
      </c>
      <c r="L32" s="24">
        <f t="shared" si="12"/>
        <v>1</v>
      </c>
      <c r="M32" s="19"/>
      <c r="N32" s="19"/>
      <c r="O32" s="19"/>
      <c r="P32" s="19"/>
      <c r="Q32" s="19"/>
      <c r="R32" s="19"/>
      <c r="S32" s="19"/>
      <c r="T32" s="19"/>
      <c r="U32" s="19"/>
      <c r="V32" s="19"/>
      <c r="W32" s="19"/>
      <c r="X32" s="19"/>
    </row>
    <row r="33" spans="1:24" ht="15">
      <c r="A33" s="20" t="s">
        <v>77</v>
      </c>
      <c r="B33" s="25" t="s">
        <v>78</v>
      </c>
      <c r="C33" s="22">
        <v>243600</v>
      </c>
      <c r="D33" s="22">
        <f t="shared" si="0"/>
        <v>207060</v>
      </c>
      <c r="E33" s="23">
        <v>850</v>
      </c>
      <c r="F33" s="16">
        <f t="shared" si="13"/>
        <v>1</v>
      </c>
      <c r="G33" s="16">
        <f t="shared" si="2"/>
        <v>243.6</v>
      </c>
      <c r="H33" s="16">
        <f t="shared" si="3"/>
        <v>243.6</v>
      </c>
      <c r="I33" s="16">
        <f t="shared" si="4"/>
        <v>8.1199999999999992</v>
      </c>
      <c r="J33" s="17">
        <v>43157</v>
      </c>
      <c r="K33" s="17">
        <v>43206</v>
      </c>
      <c r="L33" s="24">
        <f t="shared" si="12"/>
        <v>1</v>
      </c>
      <c r="M33" s="19"/>
      <c r="N33" s="19"/>
      <c r="O33" s="19"/>
      <c r="P33" s="19"/>
      <c r="Q33" s="19"/>
      <c r="R33" s="19"/>
      <c r="S33" s="19"/>
      <c r="T33" s="19"/>
      <c r="U33" s="19"/>
      <c r="V33" s="19"/>
      <c r="W33" s="19"/>
      <c r="X33" s="19"/>
    </row>
    <row r="34" spans="1:24" ht="15">
      <c r="A34" s="20" t="s">
        <v>79</v>
      </c>
      <c r="B34" s="3" t="s">
        <v>80</v>
      </c>
      <c r="C34" s="22">
        <v>1078800</v>
      </c>
      <c r="D34" s="22">
        <f t="shared" si="0"/>
        <v>916980</v>
      </c>
      <c r="E34" s="23">
        <v>850</v>
      </c>
      <c r="F34" s="16">
        <v>17</v>
      </c>
      <c r="G34" s="16">
        <f t="shared" si="2"/>
        <v>1078.8</v>
      </c>
      <c r="H34" s="16">
        <f t="shared" si="3"/>
        <v>63.45882352941176</v>
      </c>
      <c r="I34" s="16">
        <f t="shared" si="4"/>
        <v>2.1152941176470588</v>
      </c>
      <c r="J34" s="17">
        <v>43178</v>
      </c>
      <c r="K34" s="17">
        <v>43707</v>
      </c>
      <c r="L34" s="24">
        <f t="shared" si="12"/>
        <v>17</v>
      </c>
      <c r="M34" s="19"/>
      <c r="N34" s="19"/>
      <c r="O34" s="19"/>
      <c r="P34" s="19"/>
      <c r="Q34" s="19"/>
      <c r="R34" s="19"/>
      <c r="S34" s="19"/>
      <c r="T34" s="19"/>
      <c r="U34" s="19"/>
      <c r="V34" s="19"/>
      <c r="W34" s="19"/>
      <c r="X34" s="19"/>
    </row>
    <row r="35" spans="1:24" ht="15">
      <c r="A35" s="20" t="s">
        <v>81</v>
      </c>
      <c r="B35" s="3" t="s">
        <v>82</v>
      </c>
      <c r="C35" s="22">
        <v>1154200</v>
      </c>
      <c r="D35" s="22">
        <f t="shared" si="0"/>
        <v>981070</v>
      </c>
      <c r="E35" s="23">
        <v>850</v>
      </c>
      <c r="F35" s="16">
        <v>5</v>
      </c>
      <c r="G35" s="16">
        <f t="shared" si="2"/>
        <v>1154.2</v>
      </c>
      <c r="H35" s="16">
        <f t="shared" si="3"/>
        <v>230.84</v>
      </c>
      <c r="I35" s="16">
        <f t="shared" si="4"/>
        <v>7.6946666666666665</v>
      </c>
      <c r="J35" s="17">
        <v>43227</v>
      </c>
      <c r="K35" s="17">
        <v>43404</v>
      </c>
      <c r="L35" s="24">
        <f t="shared" si="12"/>
        <v>5</v>
      </c>
      <c r="M35" s="19"/>
      <c r="N35" s="19"/>
      <c r="O35" s="19"/>
      <c r="P35" s="19"/>
      <c r="Q35" s="19"/>
      <c r="R35" s="19"/>
      <c r="S35" s="19"/>
      <c r="T35" s="19"/>
      <c r="U35" s="19"/>
      <c r="V35" s="19"/>
      <c r="W35" s="19"/>
      <c r="X35" s="19"/>
    </row>
    <row r="36" spans="1:24" ht="15">
      <c r="A36" s="20" t="s">
        <v>83</v>
      </c>
      <c r="B36" s="25" t="s">
        <v>84</v>
      </c>
      <c r="C36" s="22">
        <v>52200</v>
      </c>
      <c r="D36" s="22">
        <f t="shared" si="0"/>
        <v>44370</v>
      </c>
      <c r="E36" s="23">
        <v>850</v>
      </c>
      <c r="F36" s="16">
        <v>1</v>
      </c>
      <c r="G36" s="16">
        <f t="shared" si="2"/>
        <v>52.2</v>
      </c>
      <c r="H36" s="16">
        <f t="shared" si="3"/>
        <v>52.2</v>
      </c>
      <c r="I36" s="16">
        <f t="shared" si="4"/>
        <v>1.74</v>
      </c>
      <c r="J36" s="17">
        <v>43221</v>
      </c>
      <c r="K36" s="17">
        <v>43238</v>
      </c>
      <c r="L36" s="24">
        <f t="shared" si="12"/>
        <v>0</v>
      </c>
      <c r="M36" s="19"/>
      <c r="N36" s="19"/>
      <c r="O36" s="19"/>
      <c r="P36" s="19"/>
      <c r="Q36" s="19"/>
      <c r="R36" s="19"/>
      <c r="S36" s="19"/>
      <c r="T36" s="19"/>
      <c r="U36" s="19"/>
      <c r="V36" s="19"/>
      <c r="W36" s="19"/>
      <c r="X36" s="19"/>
    </row>
    <row r="37" spans="1:24" ht="15">
      <c r="A37" s="20" t="s">
        <v>85</v>
      </c>
      <c r="B37" s="21" t="s">
        <v>86</v>
      </c>
      <c r="C37" s="22">
        <v>1432600</v>
      </c>
      <c r="D37" s="22">
        <f t="shared" si="0"/>
        <v>1217710</v>
      </c>
      <c r="E37" s="23">
        <v>850</v>
      </c>
      <c r="F37" s="16">
        <v>18</v>
      </c>
      <c r="G37" s="16">
        <f t="shared" si="2"/>
        <v>1432.6</v>
      </c>
      <c r="H37" s="16">
        <f t="shared" si="3"/>
        <v>79.588888888888889</v>
      </c>
      <c r="I37" s="16">
        <f t="shared" si="4"/>
        <v>2.6529629629629627</v>
      </c>
      <c r="J37" s="26">
        <v>0</v>
      </c>
      <c r="K37" s="26">
        <v>0</v>
      </c>
      <c r="L37" s="24">
        <f t="shared" si="12"/>
        <v>0</v>
      </c>
      <c r="M37" s="19"/>
      <c r="N37" s="19"/>
      <c r="O37" s="19"/>
      <c r="P37" s="19"/>
      <c r="Q37" s="19"/>
      <c r="R37" s="19"/>
      <c r="S37" s="19"/>
      <c r="T37" s="19"/>
      <c r="U37" s="19"/>
      <c r="V37" s="19"/>
      <c r="W37" s="19"/>
      <c r="X37" s="19"/>
    </row>
    <row r="38" spans="1:24" ht="15">
      <c r="A38" s="20" t="s">
        <v>87</v>
      </c>
      <c r="B38" s="25" t="s">
        <v>88</v>
      </c>
      <c r="C38" s="22">
        <v>2757830.45</v>
      </c>
      <c r="D38" s="22">
        <f t="shared" si="0"/>
        <v>2344155.8825000003</v>
      </c>
      <c r="E38" s="23">
        <v>850</v>
      </c>
      <c r="F38" s="16">
        <f t="shared" ref="F38:F40" si="14">L38</f>
        <v>8</v>
      </c>
      <c r="G38" s="16">
        <f t="shared" si="2"/>
        <v>2757.8304500000004</v>
      </c>
      <c r="H38" s="16">
        <f t="shared" si="3"/>
        <v>344.72880625000005</v>
      </c>
      <c r="I38" s="16">
        <f t="shared" si="4"/>
        <v>11.490960208333336</v>
      </c>
      <c r="J38" s="17">
        <v>43227</v>
      </c>
      <c r="K38" s="17">
        <v>43496</v>
      </c>
      <c r="L38" s="24">
        <f t="shared" si="12"/>
        <v>8</v>
      </c>
      <c r="M38" s="19"/>
      <c r="N38" s="19"/>
      <c r="O38" s="19"/>
      <c r="P38" s="19"/>
      <c r="Q38" s="19"/>
      <c r="R38" s="19"/>
      <c r="S38" s="19"/>
      <c r="T38" s="19"/>
      <c r="U38" s="19"/>
      <c r="V38" s="19"/>
      <c r="W38" s="19"/>
      <c r="X38" s="19"/>
    </row>
    <row r="39" spans="1:24" ht="15">
      <c r="A39" s="20" t="s">
        <v>89</v>
      </c>
      <c r="B39" s="25" t="s">
        <v>90</v>
      </c>
      <c r="C39" s="22">
        <v>112000</v>
      </c>
      <c r="D39" s="22">
        <f t="shared" si="0"/>
        <v>95200</v>
      </c>
      <c r="E39" s="23">
        <v>850</v>
      </c>
      <c r="F39" s="16">
        <f t="shared" si="14"/>
        <v>12</v>
      </c>
      <c r="G39" s="16">
        <f t="shared" si="2"/>
        <v>112</v>
      </c>
      <c r="H39" s="16">
        <f t="shared" si="3"/>
        <v>9.3333333333333339</v>
      </c>
      <c r="I39" s="16">
        <f t="shared" si="4"/>
        <v>0.31111111111111112</v>
      </c>
      <c r="J39" s="17">
        <v>43208</v>
      </c>
      <c r="K39" s="17">
        <v>43585</v>
      </c>
      <c r="L39" s="24">
        <f t="shared" si="12"/>
        <v>12</v>
      </c>
      <c r="M39" s="19"/>
      <c r="N39" s="19"/>
      <c r="O39" s="19"/>
      <c r="P39" s="19"/>
      <c r="Q39" s="19"/>
      <c r="R39" s="19"/>
      <c r="S39" s="19"/>
      <c r="T39" s="19"/>
      <c r="U39" s="19"/>
      <c r="V39" s="19"/>
      <c r="W39" s="19"/>
      <c r="X39" s="19"/>
    </row>
    <row r="40" spans="1:24" ht="15">
      <c r="A40" s="27" t="s">
        <v>91</v>
      </c>
      <c r="B40" s="28" t="s">
        <v>92</v>
      </c>
      <c r="C40" s="29">
        <v>745264.97</v>
      </c>
      <c r="D40" s="29">
        <f t="shared" si="0"/>
        <v>633475.22450000001</v>
      </c>
      <c r="E40" s="30">
        <v>850</v>
      </c>
      <c r="F40" s="31">
        <f t="shared" si="14"/>
        <v>17</v>
      </c>
      <c r="G40" s="31">
        <f t="shared" si="2"/>
        <v>745.26497000000006</v>
      </c>
      <c r="H40" s="31">
        <f t="shared" si="3"/>
        <v>43.839115882352942</v>
      </c>
      <c r="I40" s="16">
        <f t="shared" si="4"/>
        <v>1.461303862745098</v>
      </c>
      <c r="J40" s="17">
        <v>43213</v>
      </c>
      <c r="K40" s="17">
        <v>43738</v>
      </c>
      <c r="L40" s="32">
        <f t="shared" si="12"/>
        <v>17</v>
      </c>
      <c r="M40" s="19"/>
      <c r="N40" s="19"/>
      <c r="O40" s="19"/>
      <c r="P40" s="19"/>
      <c r="Q40" s="19"/>
      <c r="R40" s="19"/>
      <c r="S40" s="19"/>
      <c r="T40" s="19"/>
      <c r="U40" s="19"/>
      <c r="V40" s="19"/>
      <c r="W40" s="19"/>
      <c r="X40" s="19"/>
    </row>
    <row r="41" spans="1:24" ht="15">
      <c r="B41" s="3" t="s">
        <v>93</v>
      </c>
      <c r="E41" s="3">
        <v>850</v>
      </c>
      <c r="F41" s="3">
        <v>11</v>
      </c>
      <c r="G41" s="31">
        <f t="shared" si="2"/>
        <v>0</v>
      </c>
      <c r="H41" s="31">
        <f t="shared" si="3"/>
        <v>0</v>
      </c>
      <c r="I41" s="16">
        <f t="shared" si="4"/>
        <v>0</v>
      </c>
      <c r="J41" s="17">
        <v>43115</v>
      </c>
      <c r="K41" s="17">
        <v>43462</v>
      </c>
      <c r="L41" s="19">
        <f t="shared" si="12"/>
        <v>11</v>
      </c>
      <c r="N41" s="19"/>
      <c r="O41" s="19"/>
      <c r="P41" s="19"/>
      <c r="Q41" s="19"/>
      <c r="R41" s="19"/>
      <c r="S41" s="19"/>
      <c r="T41" s="19"/>
      <c r="U41" s="19"/>
      <c r="V41" s="19"/>
      <c r="W41" s="19"/>
      <c r="X41" s="19"/>
    </row>
    <row r="42" spans="1:24" ht="15">
      <c r="N42" s="19"/>
      <c r="O42" s="19"/>
      <c r="P42" s="19"/>
      <c r="Q42" s="19"/>
      <c r="R42" s="19"/>
      <c r="S42" s="19"/>
      <c r="T42" s="19"/>
      <c r="U42" s="19"/>
      <c r="V42" s="19"/>
      <c r="W42" s="19"/>
      <c r="X42" s="19"/>
    </row>
    <row r="43" spans="1:24" ht="15">
      <c r="M43" s="19"/>
      <c r="N43" s="19"/>
      <c r="O43" s="19"/>
      <c r="P43" s="19"/>
      <c r="Q43" s="19"/>
      <c r="R43" s="19"/>
      <c r="S43" s="19"/>
      <c r="T43" s="19"/>
      <c r="U43" s="19"/>
      <c r="V43" s="19"/>
      <c r="W43" s="19"/>
      <c r="X43" s="19"/>
    </row>
    <row r="44" spans="1:24" ht="15">
      <c r="M44" s="19"/>
      <c r="N44" s="19"/>
      <c r="O44" s="19"/>
      <c r="P44" s="19"/>
      <c r="Q44" s="19"/>
      <c r="R44" s="19"/>
      <c r="S44" s="19"/>
      <c r="T44" s="19"/>
      <c r="U44" s="19"/>
      <c r="V44" s="19"/>
      <c r="W44" s="19">
        <f>$I44</f>
        <v>0</v>
      </c>
      <c r="X44" s="19"/>
    </row>
  </sheetData>
  <autoFilter ref="A1:L44" xr:uid="{00000000-0009-0000-0000-00000200000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B9"/>
  <sheetViews>
    <sheetView workbookViewId="0">
      <selection activeCell="B10" sqref="B10"/>
    </sheetView>
  </sheetViews>
  <sheetFormatPr baseColWidth="10" defaultColWidth="8.83203125" defaultRowHeight="15.75" customHeight="1"/>
  <cols>
    <col min="1" max="1" width="31.33203125"/>
    <col min="2" max="2" width="57.6640625"/>
    <col min="3" max="256" width="15.5"/>
    <col min="257" max="1024" width="10.5"/>
    <col min="1025" max="1025" width="11.5"/>
  </cols>
  <sheetData>
    <row r="3" spans="1:2" ht="16">
      <c r="A3" s="421" t="s">
        <v>94</v>
      </c>
      <c r="B3" s="421"/>
    </row>
    <row r="4" spans="1:2" ht="30">
      <c r="A4" s="33" t="s">
        <v>95</v>
      </c>
      <c r="B4" s="33" t="s">
        <v>96</v>
      </c>
    </row>
    <row r="5" spans="1:2" ht="30">
      <c r="A5" s="34" t="s">
        <v>97</v>
      </c>
      <c r="B5" s="34" t="s">
        <v>307</v>
      </c>
    </row>
    <row r="6" spans="1:2" ht="15">
      <c r="A6" s="33" t="s">
        <v>98</v>
      </c>
      <c r="B6" s="33" t="s">
        <v>99</v>
      </c>
    </row>
    <row r="7" spans="1:2" ht="30">
      <c r="A7" s="34" t="s">
        <v>100</v>
      </c>
      <c r="B7" s="34" t="s">
        <v>101</v>
      </c>
    </row>
    <row r="8" spans="1:2" ht="30">
      <c r="A8" s="466" t="s">
        <v>350</v>
      </c>
      <c r="B8" s="466" t="s">
        <v>351</v>
      </c>
    </row>
    <row r="9" spans="1:2" ht="59" customHeight="1">
      <c r="A9" s="467" t="s">
        <v>352</v>
      </c>
      <c r="B9" s="467" t="s">
        <v>353</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P20"/>
  <sheetViews>
    <sheetView workbookViewId="0">
      <selection activeCell="G21" sqref="G21:I21"/>
    </sheetView>
  </sheetViews>
  <sheetFormatPr baseColWidth="10" defaultColWidth="8.83203125" defaultRowHeight="15.75" customHeight="1"/>
  <cols>
    <col min="1" max="1" width="38.6640625"/>
    <col min="2" max="2" width="29.5"/>
    <col min="3" max="3" width="0.83203125" style="35"/>
    <col min="4" max="16" width="16.83203125" customWidth="1"/>
    <col min="17" max="17" width="19.33203125"/>
    <col min="18" max="18" width="22.1640625"/>
    <col min="19" max="19" width="21.33203125"/>
    <col min="20" max="20" width="23.6640625"/>
    <col min="21" max="21" width="23.1640625"/>
    <col min="22" max="22" width="22.6640625"/>
    <col min="23" max="28" width="19.33203125"/>
    <col min="29" max="29" width="10.5"/>
    <col min="30" max="250" width="15.5"/>
    <col min="251" max="1005" width="10.5"/>
    <col min="1006" max="1006" width="11.5"/>
  </cols>
  <sheetData>
    <row r="1" spans="1:250" ht="24">
      <c r="A1" s="36"/>
    </row>
    <row r="2" spans="1:250" ht="15">
      <c r="A2" s="422"/>
      <c r="B2" s="422"/>
      <c r="Q2" s="37">
        <v>4083165.24</v>
      </c>
      <c r="R2" s="37">
        <v>8225600.0300000003</v>
      </c>
      <c r="S2" s="37">
        <v>1099551.6000000001</v>
      </c>
      <c r="T2" s="38">
        <v>4860267.0689655105</v>
      </c>
      <c r="U2" s="38">
        <v>5975743.5032000002</v>
      </c>
      <c r="V2" s="38">
        <v>4051166.2867999999</v>
      </c>
    </row>
    <row r="3" spans="1:250" ht="19.5" customHeight="1">
      <c r="B3" s="39"/>
      <c r="C3" s="41"/>
      <c r="D3" s="40">
        <v>44927</v>
      </c>
      <c r="E3" s="40">
        <v>44958</v>
      </c>
      <c r="F3" s="40">
        <v>44986</v>
      </c>
      <c r="G3" s="40">
        <v>45017</v>
      </c>
      <c r="H3" s="40">
        <v>45047</v>
      </c>
      <c r="I3" s="40">
        <v>45078</v>
      </c>
      <c r="J3" s="40">
        <v>45108</v>
      </c>
      <c r="K3" s="40">
        <v>45139</v>
      </c>
      <c r="L3" s="40">
        <v>45170</v>
      </c>
      <c r="M3" s="40">
        <v>45200</v>
      </c>
      <c r="N3" s="40">
        <v>45231</v>
      </c>
      <c r="O3" s="40">
        <v>45261</v>
      </c>
      <c r="Q3" s="40">
        <v>45292</v>
      </c>
      <c r="R3" s="40">
        <v>45323</v>
      </c>
      <c r="S3" s="40">
        <v>45352</v>
      </c>
      <c r="T3" s="40">
        <v>45383</v>
      </c>
      <c r="U3" s="40">
        <v>45413</v>
      </c>
      <c r="V3" s="40">
        <v>45444</v>
      </c>
      <c r="W3" s="40">
        <v>45474</v>
      </c>
      <c r="X3" s="40">
        <v>45505</v>
      </c>
      <c r="Y3" s="40">
        <v>45536</v>
      </c>
      <c r="Z3" s="40">
        <v>45566</v>
      </c>
      <c r="AA3" s="40">
        <v>45597</v>
      </c>
      <c r="AB3" s="40">
        <v>45627</v>
      </c>
      <c r="AC3" s="42" t="s">
        <v>102</v>
      </c>
    </row>
    <row r="4" spans="1:250" ht="16">
      <c r="A4" s="464" t="s">
        <v>103</v>
      </c>
      <c r="B4" s="45" t="s">
        <v>103</v>
      </c>
      <c r="C4" s="47"/>
      <c r="D4" s="46">
        <f>'Pronostico _con IVA_'!I22</f>
        <v>85530</v>
      </c>
      <c r="E4" s="46">
        <f>'Pronostico _con IVA_'!J22</f>
        <v>115224.32000000001</v>
      </c>
      <c r="F4" s="46">
        <f>'Pronostico _con IVA_'!K22</f>
        <v>40530</v>
      </c>
      <c r="G4" s="46">
        <f>'Pronostico _con IVA_'!L22</f>
        <v>121591</v>
      </c>
      <c r="H4" s="46">
        <f>'Pronostico _con IVA_'!M22</f>
        <v>283638.91000000003</v>
      </c>
      <c r="I4" s="46">
        <f>'Pronostico _con IVA_'!N22</f>
        <v>237978.04000000004</v>
      </c>
      <c r="J4" s="46">
        <f>'Pronostico _con IVA_'!O22</f>
        <v>368936.33600000007</v>
      </c>
      <c r="K4" s="46">
        <f>'Pronostico _con IVA_'!P22</f>
        <v>264028.70899999997</v>
      </c>
      <c r="L4" s="46">
        <f>'Pronostico _con IVA_'!Q22</f>
        <v>205708.51</v>
      </c>
      <c r="M4" s="46">
        <f>'Pronostico _con IVA_'!R22</f>
        <v>246840.20999999996</v>
      </c>
      <c r="N4" s="46">
        <f>'Pronostico _con IVA_'!S22</f>
        <v>354749.02799999999</v>
      </c>
      <c r="O4" s="46">
        <f>'Pronostico _con IVA_'!T22</f>
        <v>272940.20999999996</v>
      </c>
      <c r="P4" s="46">
        <f>'Pronostico _con IVA_'!U22</f>
        <v>2597695.273</v>
      </c>
      <c r="Q4" s="46">
        <f>'Pronostico _con IVA_'!V22</f>
        <v>252908.88500000001</v>
      </c>
      <c r="R4" s="46">
        <f>'Pronostico _con IVA_'!W22</f>
        <v>144904.67499999999</v>
      </c>
      <c r="S4" s="46">
        <f>'Pronostico _con IVA_'!X22</f>
        <v>163386.74</v>
      </c>
      <c r="T4" s="46">
        <f>'Pronostico _con IVA_'!Y22</f>
        <v>86139.15</v>
      </c>
      <c r="U4" s="46">
        <f>'Pronostico _con IVA_'!Z22</f>
        <v>86139.15</v>
      </c>
      <c r="V4" s="46">
        <f>'Pronostico _con IVA_'!AA22</f>
        <v>86139.15</v>
      </c>
      <c r="W4" s="46">
        <f>'Pronostico _con IVA_'!AB22</f>
        <v>0</v>
      </c>
      <c r="X4" s="46">
        <f>'Pronostico _con IVA_'!AC22</f>
        <v>0</v>
      </c>
      <c r="Y4" s="46">
        <f>'Pronostico _con IVA_'!AD22</f>
        <v>0</v>
      </c>
      <c r="Z4" s="46">
        <f>'Pronostico _con IVA_'!AE22</f>
        <v>0</v>
      </c>
      <c r="AA4" s="46">
        <f>'Pronostico _con IVA_'!AF22</f>
        <v>0</v>
      </c>
      <c r="AB4" s="46">
        <f>'Pronostico _con IVA_'!AG22</f>
        <v>0</v>
      </c>
    </row>
    <row r="5" spans="1:250" ht="16">
      <c r="A5" s="465" t="s">
        <v>347</v>
      </c>
      <c r="B5" s="48" t="s">
        <v>104</v>
      </c>
      <c r="C5" s="50"/>
      <c r="D5" s="49">
        <f>'Real _con IVA_'!J21</f>
        <v>85530</v>
      </c>
      <c r="E5" s="49">
        <f>'Real _con IVA_'!K21</f>
        <v>115224.32000000001</v>
      </c>
      <c r="F5" s="49">
        <f>'Real _con IVA_'!L21</f>
        <v>40530</v>
      </c>
      <c r="G5" s="49">
        <f>'Real _con IVA_'!M21</f>
        <v>121591</v>
      </c>
      <c r="H5" s="49">
        <f>'Real _con IVA_'!N21</f>
        <v>0</v>
      </c>
      <c r="I5" s="49">
        <f>'Real _con IVA_'!O21</f>
        <v>0</v>
      </c>
      <c r="J5" s="49">
        <f>'Real _con IVA_'!P21</f>
        <v>0</v>
      </c>
      <c r="K5" s="49">
        <f>'Real _con IVA_'!Q21</f>
        <v>0</v>
      </c>
      <c r="L5" s="49">
        <f>'Real _con IVA_'!R21</f>
        <v>0</v>
      </c>
      <c r="M5" s="49">
        <f>'Real _con IVA_'!S21</f>
        <v>0</v>
      </c>
      <c r="N5" s="49">
        <f>'Real _con IVA_'!T21</f>
        <v>0</v>
      </c>
      <c r="O5" s="49">
        <f>'Real _con IVA_'!U21</f>
        <v>0</v>
      </c>
      <c r="P5" s="49">
        <f>'Real _con IVA_'!V21</f>
        <v>362875.32</v>
      </c>
      <c r="Q5" s="49">
        <f>'Real _con IVA_'!W21</f>
        <v>0</v>
      </c>
      <c r="R5" s="49">
        <f>'Real _con IVA_'!X21</f>
        <v>0</v>
      </c>
      <c r="S5" s="49">
        <f>'Real _con IVA_'!Y21</f>
        <v>0</v>
      </c>
      <c r="T5" s="49">
        <f>'Real _con IVA_'!Z21</f>
        <v>0</v>
      </c>
      <c r="U5" s="49">
        <f>'Real _con IVA_'!AA21</f>
        <v>0</v>
      </c>
      <c r="V5" s="49">
        <f>'Real _con IVA_'!AB21</f>
        <v>0</v>
      </c>
      <c r="W5" s="49">
        <f>'Real _con IVA_'!AC21</f>
        <v>0</v>
      </c>
      <c r="X5" s="49">
        <f>'Real _con IVA_'!AD21</f>
        <v>0</v>
      </c>
      <c r="Y5" s="49">
        <f>'Real _con IVA_'!AE21</f>
        <v>0</v>
      </c>
      <c r="Z5" s="49">
        <f>'Real _con IVA_'!AF21</f>
        <v>0</v>
      </c>
      <c r="AA5" s="49">
        <f>'Real _con IVA_'!AG21</f>
        <v>0</v>
      </c>
      <c r="AB5" s="49">
        <f>'Real _con IVA_'!AH21</f>
        <v>0</v>
      </c>
    </row>
    <row r="6" spans="1:250" ht="16">
      <c r="A6" s="52" t="s">
        <v>105</v>
      </c>
      <c r="B6" s="45" t="s">
        <v>106</v>
      </c>
      <c r="C6" s="47"/>
      <c r="D6" s="47">
        <f t="shared" ref="D6:D7" si="0">D4/1.16</f>
        <v>73732.758620689667</v>
      </c>
      <c r="E6" s="47">
        <f t="shared" ref="E6:E7" si="1">E4/1.16</f>
        <v>99331.310344827594</v>
      </c>
      <c r="F6" s="47">
        <f t="shared" ref="F6:F7" si="2">F4/1.16</f>
        <v>34939.655172413797</v>
      </c>
      <c r="G6" s="47">
        <f t="shared" ref="G6:G7" si="3">G4/1.16</f>
        <v>104819.8275862069</v>
      </c>
      <c r="H6" s="47">
        <f t="shared" ref="H6:H7" si="4">H4/1.16</f>
        <v>244516.30172413797</v>
      </c>
      <c r="I6" s="47">
        <f t="shared" ref="I6:I7" si="5">I4/1.16</f>
        <v>205153.48275862072</v>
      </c>
      <c r="J6" s="47">
        <f t="shared" ref="J6:J7" si="6">J4/1.16</f>
        <v>318048.56551724148</v>
      </c>
      <c r="K6" s="47">
        <f t="shared" ref="K6:K7" si="7">K4/1.16</f>
        <v>227610.95603448275</v>
      </c>
      <c r="L6" s="47">
        <f t="shared" ref="L6:L7" si="8">L4/1.16</f>
        <v>177334.92241379313</v>
      </c>
      <c r="M6" s="47">
        <f t="shared" ref="M6:M7" si="9">M4/1.16</f>
        <v>212793.28448275861</v>
      </c>
      <c r="N6" s="47">
        <f t="shared" ref="N6:N7" si="10">N4/1.16</f>
        <v>305818.12758620689</v>
      </c>
      <c r="O6" s="47">
        <f t="shared" ref="O6:O7" si="11">O4/1.16</f>
        <v>235293.28448275861</v>
      </c>
      <c r="P6" s="53"/>
      <c r="Q6" s="46">
        <f t="shared" ref="Q6:Q7" si="12">Q4/1.16</f>
        <v>218024.90086206899</v>
      </c>
      <c r="R6" s="46">
        <f t="shared" ref="R6:R7" si="13">R4/1.16</f>
        <v>124917.82327586207</v>
      </c>
      <c r="S6" s="46">
        <f t="shared" ref="S6:S7" si="14">S4/1.16</f>
        <v>140850.63793103449</v>
      </c>
      <c r="T6" s="46">
        <f t="shared" ref="T6:T7" si="15">T4/1.16</f>
        <v>74257.887931034478</v>
      </c>
      <c r="U6" s="46">
        <f t="shared" ref="U6:U7" si="16">U4/1.16</f>
        <v>74257.887931034478</v>
      </c>
      <c r="V6" s="46">
        <f t="shared" ref="V6:V7" si="17">V4/1.16</f>
        <v>74257.887931034478</v>
      </c>
      <c r="W6" s="46">
        <f t="shared" ref="W6:W7" si="18">W4/1.16</f>
        <v>0</v>
      </c>
      <c r="X6" s="46">
        <f t="shared" ref="X6:X7" si="19">X4/1.16</f>
        <v>0</v>
      </c>
      <c r="Y6" s="46">
        <f t="shared" ref="Y6:Y7" si="20">Y4/1.16</f>
        <v>0</v>
      </c>
      <c r="Z6" s="46">
        <f t="shared" ref="Z6:Z7" si="21">Z4/1.16</f>
        <v>0</v>
      </c>
      <c r="AA6" s="46">
        <f t="shared" ref="AA6:AA7" si="22">AA4/1.16</f>
        <v>0</v>
      </c>
      <c r="AB6" s="46">
        <f t="shared" ref="AB6:AB7" si="23">AB4/1.16</f>
        <v>0</v>
      </c>
    </row>
    <row r="7" spans="1:250" ht="16">
      <c r="A7" s="48" t="s">
        <v>107</v>
      </c>
      <c r="B7" s="48" t="s">
        <v>108</v>
      </c>
      <c r="C7" s="50"/>
      <c r="D7" s="50">
        <f t="shared" si="0"/>
        <v>73732.758620689667</v>
      </c>
      <c r="E7" s="50">
        <f t="shared" si="1"/>
        <v>99331.310344827594</v>
      </c>
      <c r="F7" s="50">
        <f t="shared" si="2"/>
        <v>34939.655172413797</v>
      </c>
      <c r="G7" s="50">
        <f t="shared" si="3"/>
        <v>104819.8275862069</v>
      </c>
      <c r="H7" s="50">
        <f t="shared" si="4"/>
        <v>0</v>
      </c>
      <c r="I7" s="50">
        <f t="shared" si="5"/>
        <v>0</v>
      </c>
      <c r="J7" s="50">
        <f t="shared" si="6"/>
        <v>0</v>
      </c>
      <c r="K7" s="50">
        <f t="shared" si="7"/>
        <v>0</v>
      </c>
      <c r="L7" s="50">
        <f t="shared" si="8"/>
        <v>0</v>
      </c>
      <c r="M7" s="50">
        <f t="shared" si="9"/>
        <v>0</v>
      </c>
      <c r="N7" s="50">
        <f t="shared" si="10"/>
        <v>0</v>
      </c>
      <c r="O7" s="50">
        <f t="shared" si="11"/>
        <v>0</v>
      </c>
      <c r="P7" s="51"/>
      <c r="Q7" s="49">
        <f t="shared" si="12"/>
        <v>0</v>
      </c>
      <c r="R7" s="49">
        <f t="shared" si="13"/>
        <v>0</v>
      </c>
      <c r="S7" s="49">
        <f t="shared" si="14"/>
        <v>0</v>
      </c>
      <c r="T7" s="49">
        <f t="shared" si="15"/>
        <v>0</v>
      </c>
      <c r="U7" s="49">
        <f t="shared" si="16"/>
        <v>0</v>
      </c>
      <c r="V7" s="49">
        <f t="shared" si="17"/>
        <v>0</v>
      </c>
      <c r="W7" s="49">
        <f t="shared" si="18"/>
        <v>0</v>
      </c>
      <c r="X7" s="49">
        <f t="shared" si="19"/>
        <v>0</v>
      </c>
      <c r="Y7" s="49">
        <f t="shared" si="20"/>
        <v>0</v>
      </c>
      <c r="Z7" s="49">
        <f t="shared" si="21"/>
        <v>0</v>
      </c>
      <c r="AA7" s="49">
        <f t="shared" si="22"/>
        <v>0</v>
      </c>
      <c r="AB7" s="49">
        <f t="shared" si="23"/>
        <v>0</v>
      </c>
    </row>
    <row r="8" spans="1:250" ht="15">
      <c r="A8" t="s">
        <v>109</v>
      </c>
      <c r="C8" s="54"/>
      <c r="D8" s="43">
        <f t="shared" ref="D8:O8" si="24">1-D5/D4</f>
        <v>0</v>
      </c>
      <c r="E8" s="43">
        <f t="shared" si="24"/>
        <v>0</v>
      </c>
      <c r="F8" s="43">
        <f t="shared" si="24"/>
        <v>0</v>
      </c>
      <c r="G8" s="43">
        <f t="shared" si="24"/>
        <v>0</v>
      </c>
      <c r="H8" s="43">
        <f t="shared" si="24"/>
        <v>1</v>
      </c>
      <c r="I8" s="43">
        <f t="shared" si="24"/>
        <v>1</v>
      </c>
      <c r="J8" s="43">
        <f t="shared" si="24"/>
        <v>1</v>
      </c>
      <c r="K8" s="43">
        <f t="shared" si="24"/>
        <v>1</v>
      </c>
      <c r="L8" s="43">
        <f t="shared" si="24"/>
        <v>1</v>
      </c>
      <c r="M8" s="43">
        <f t="shared" si="24"/>
        <v>1</v>
      </c>
      <c r="N8" s="43">
        <f t="shared" si="24"/>
        <v>1</v>
      </c>
      <c r="O8" s="43">
        <f t="shared" si="24"/>
        <v>1</v>
      </c>
      <c r="Q8" s="43">
        <f t="shared" ref="Q8:AB8" si="25">1-Q5/Q4</f>
        <v>1</v>
      </c>
      <c r="R8" s="43">
        <f t="shared" si="25"/>
        <v>1</v>
      </c>
      <c r="S8" s="43">
        <f t="shared" si="25"/>
        <v>1</v>
      </c>
      <c r="T8" s="43">
        <f t="shared" si="25"/>
        <v>1</v>
      </c>
      <c r="U8" s="43">
        <f t="shared" si="25"/>
        <v>1</v>
      </c>
      <c r="V8" s="43">
        <f t="shared" si="25"/>
        <v>1</v>
      </c>
      <c r="W8" s="43" t="e">
        <f t="shared" si="25"/>
        <v>#DIV/0!</v>
      </c>
      <c r="X8" s="43" t="e">
        <f t="shared" si="25"/>
        <v>#DIV/0!</v>
      </c>
      <c r="Y8" s="43" t="e">
        <f t="shared" si="25"/>
        <v>#DIV/0!</v>
      </c>
      <c r="Z8" s="43" t="e">
        <f t="shared" si="25"/>
        <v>#DIV/0!</v>
      </c>
      <c r="AA8" s="43" t="e">
        <f t="shared" si="25"/>
        <v>#DIV/0!</v>
      </c>
      <c r="AB8" s="43" t="e">
        <f t="shared" si="25"/>
        <v>#DIV/0!</v>
      </c>
    </row>
    <row r="9" spans="1:250" ht="19">
      <c r="A9" s="462" t="s">
        <v>345</v>
      </c>
      <c r="B9" s="463" t="s">
        <v>346</v>
      </c>
      <c r="C9" s="55"/>
      <c r="D9" s="55">
        <f>Presupuesto!E77</f>
        <v>219100</v>
      </c>
      <c r="E9" s="55">
        <f>Presupuesto!F77</f>
        <v>219100</v>
      </c>
      <c r="F9" s="55">
        <f>Presupuesto!G77</f>
        <v>219100</v>
      </c>
      <c r="G9" s="55">
        <f>Presupuesto!H77</f>
        <v>219100</v>
      </c>
      <c r="H9" s="55">
        <f>Presupuesto!I77</f>
        <v>219100</v>
      </c>
      <c r="I9" s="55">
        <f>Presupuesto!J77</f>
        <v>219100</v>
      </c>
      <c r="J9" s="55">
        <f>Presupuesto!K77</f>
        <v>219100</v>
      </c>
      <c r="K9" s="55">
        <f>Presupuesto!L77</f>
        <v>219100</v>
      </c>
      <c r="L9" s="55">
        <f>Presupuesto!M77</f>
        <v>219100</v>
      </c>
      <c r="M9" s="55">
        <f>Presupuesto!N77</f>
        <v>219100</v>
      </c>
      <c r="N9" s="55">
        <f>Presupuesto!O77</f>
        <v>219100</v>
      </c>
      <c r="O9" s="55">
        <f>Presupuesto!P77</f>
        <v>219100</v>
      </c>
      <c r="P9" s="56"/>
      <c r="Q9" s="57">
        <f>Presupuesto!E77</f>
        <v>219100</v>
      </c>
      <c r="R9" s="57">
        <f>Presupuesto!F77</f>
        <v>219100</v>
      </c>
      <c r="S9" s="57">
        <f>Presupuesto!G77</f>
        <v>219100</v>
      </c>
      <c r="T9" s="57">
        <f>Presupuesto!H77</f>
        <v>219100</v>
      </c>
      <c r="U9" s="57">
        <f>Presupuesto!I77</f>
        <v>219100</v>
      </c>
      <c r="V9" s="57">
        <f>Presupuesto!J77</f>
        <v>219100</v>
      </c>
      <c r="W9" s="57">
        <f>Presupuesto!K77</f>
        <v>219100</v>
      </c>
      <c r="X9" s="57">
        <f>Presupuesto!L77</f>
        <v>219100</v>
      </c>
      <c r="Y9" s="57">
        <f>Presupuesto!M77</f>
        <v>219100</v>
      </c>
      <c r="Z9" s="57">
        <f>Presupuesto!N77</f>
        <v>219100</v>
      </c>
      <c r="AA9" s="57">
        <f>Presupuesto!O77</f>
        <v>219100</v>
      </c>
      <c r="AB9" s="57">
        <f>Presupuesto!P77</f>
        <v>219100</v>
      </c>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c r="BT9" s="58"/>
      <c r="BU9" s="58"/>
      <c r="BV9" s="58"/>
      <c r="BW9" s="58"/>
      <c r="BX9" s="58"/>
      <c r="BY9" s="58"/>
      <c r="BZ9" s="58"/>
      <c r="CA9" s="58"/>
      <c r="CB9" s="58"/>
      <c r="CC9" s="58"/>
      <c r="CD9" s="58"/>
      <c r="CE9" s="58"/>
      <c r="CF9" s="58"/>
      <c r="CG9" s="58"/>
      <c r="CH9" s="58"/>
      <c r="CI9" s="58"/>
      <c r="CJ9" s="58"/>
      <c r="CK9" s="58"/>
      <c r="CL9" s="58"/>
      <c r="CM9" s="58"/>
      <c r="CN9" s="58"/>
      <c r="CO9" s="58"/>
      <c r="CP9" s="58"/>
      <c r="CQ9" s="58"/>
      <c r="CR9" s="58"/>
      <c r="CS9" s="58"/>
      <c r="CT9" s="58"/>
      <c r="CU9" s="58"/>
      <c r="CV9" s="58"/>
      <c r="CW9" s="58"/>
      <c r="CX9" s="58"/>
      <c r="CY9" s="58"/>
      <c r="CZ9" s="58"/>
      <c r="DA9" s="58"/>
      <c r="DB9" s="58"/>
      <c r="DC9" s="58"/>
      <c r="DD9" s="58"/>
      <c r="DE9" s="58"/>
      <c r="DF9" s="58"/>
      <c r="DG9" s="58"/>
      <c r="DH9" s="58"/>
      <c r="DI9" s="58"/>
      <c r="DJ9" s="58"/>
      <c r="DK9" s="58"/>
      <c r="DL9" s="58"/>
      <c r="DM9" s="58"/>
      <c r="DN9" s="58"/>
      <c r="DO9" s="58"/>
      <c r="DP9" s="58"/>
      <c r="DQ9" s="58"/>
      <c r="DR9" s="58"/>
      <c r="DS9" s="58"/>
      <c r="DT9" s="58"/>
      <c r="DU9" s="58"/>
      <c r="DV9" s="58"/>
      <c r="DW9" s="58"/>
      <c r="DX9" s="58"/>
      <c r="DY9" s="58"/>
      <c r="DZ9" s="58"/>
      <c r="EA9" s="58"/>
      <c r="EB9" s="58"/>
      <c r="EC9" s="58"/>
      <c r="ED9" s="58"/>
      <c r="EE9" s="58"/>
      <c r="EF9" s="58"/>
      <c r="EG9" s="58"/>
      <c r="EH9" s="58"/>
      <c r="EI9" s="58"/>
      <c r="EJ9" s="58"/>
      <c r="EK9" s="58"/>
      <c r="EL9" s="58"/>
      <c r="EM9" s="58"/>
      <c r="EN9" s="58"/>
      <c r="EO9" s="58"/>
      <c r="EP9" s="58"/>
      <c r="EQ9" s="58"/>
      <c r="ER9" s="58"/>
      <c r="ES9" s="58"/>
      <c r="ET9" s="58"/>
      <c r="EU9" s="58"/>
      <c r="EV9" s="58"/>
      <c r="EW9" s="58"/>
      <c r="EX9" s="58"/>
      <c r="EY9" s="58"/>
      <c r="EZ9" s="58"/>
      <c r="FA9" s="58"/>
      <c r="FB9" s="58"/>
      <c r="FC9" s="58"/>
      <c r="FD9" s="58"/>
      <c r="FE9" s="58"/>
      <c r="FF9" s="58"/>
      <c r="FG9" s="58"/>
      <c r="FH9" s="58"/>
      <c r="FI9" s="58"/>
      <c r="FJ9" s="58"/>
      <c r="FK9" s="58"/>
      <c r="FL9" s="58"/>
      <c r="FM9" s="58"/>
      <c r="FN9" s="58"/>
      <c r="FO9" s="58"/>
      <c r="FP9" s="58"/>
      <c r="FQ9" s="58"/>
      <c r="FR9" s="58"/>
      <c r="FS9" s="58"/>
      <c r="FT9" s="58"/>
      <c r="FU9" s="58"/>
      <c r="FV9" s="58"/>
      <c r="FW9" s="58"/>
      <c r="FX9" s="58"/>
      <c r="FY9" s="58"/>
      <c r="FZ9" s="58"/>
      <c r="GA9" s="58"/>
      <c r="GB9" s="58"/>
      <c r="GC9" s="58"/>
      <c r="GD9" s="58"/>
      <c r="GE9" s="58"/>
      <c r="GF9" s="58"/>
      <c r="GG9" s="58"/>
      <c r="GH9" s="58"/>
      <c r="GI9" s="58"/>
      <c r="GJ9" s="58"/>
      <c r="GK9" s="58"/>
      <c r="GL9" s="58"/>
      <c r="GM9" s="58"/>
      <c r="GN9" s="58"/>
      <c r="GO9" s="58"/>
      <c r="GP9" s="58"/>
      <c r="GQ9" s="58"/>
      <c r="GR9" s="58"/>
      <c r="GS9" s="58"/>
      <c r="GT9" s="58"/>
      <c r="GU9" s="58"/>
      <c r="GV9" s="58"/>
      <c r="GW9" s="58"/>
      <c r="GX9" s="58"/>
      <c r="GY9" s="58"/>
      <c r="GZ9" s="58"/>
      <c r="HA9" s="58"/>
      <c r="HB9" s="58"/>
      <c r="HC9" s="58"/>
      <c r="HD9" s="58"/>
      <c r="HE9" s="58"/>
      <c r="HF9" s="58"/>
      <c r="HG9" s="58"/>
      <c r="HH9" s="58"/>
      <c r="HI9" s="58"/>
      <c r="HJ9" s="58"/>
      <c r="HK9" s="58"/>
      <c r="HL9" s="58"/>
      <c r="HM9" s="58"/>
      <c r="HN9" s="58"/>
      <c r="HO9" s="58"/>
      <c r="HP9" s="58"/>
      <c r="HQ9" s="58"/>
      <c r="HR9" s="58"/>
      <c r="HS9" s="58"/>
      <c r="HT9" s="58"/>
      <c r="HU9" s="58"/>
      <c r="HV9" s="58"/>
      <c r="HW9" s="58"/>
      <c r="HX9" s="58"/>
      <c r="HY9" s="58"/>
      <c r="HZ9" s="58"/>
      <c r="IA9" s="58"/>
      <c r="IB9" s="58"/>
      <c r="IC9" s="58"/>
      <c r="ID9" s="58"/>
      <c r="IE9" s="58"/>
      <c r="IF9" s="58"/>
      <c r="IG9" s="58"/>
      <c r="IH9" s="58"/>
      <c r="II9" s="58"/>
      <c r="IJ9" s="58"/>
      <c r="IK9" s="58"/>
      <c r="IL9" s="58"/>
      <c r="IM9" s="58"/>
      <c r="IN9" s="58"/>
      <c r="IO9" s="58"/>
      <c r="IP9" s="58"/>
    </row>
    <row r="10" spans="1:250" ht="15">
      <c r="A10" s="59"/>
      <c r="B10" s="60"/>
      <c r="C10" s="61"/>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c r="BT10" s="58"/>
      <c r="BU10" s="58"/>
      <c r="BV10" s="58"/>
      <c r="BW10" s="58"/>
      <c r="BX10" s="58"/>
      <c r="BY10" s="58"/>
      <c r="BZ10" s="58"/>
      <c r="CA10" s="58"/>
      <c r="CB10" s="58"/>
      <c r="CC10" s="58"/>
      <c r="CD10" s="58"/>
      <c r="CE10" s="58"/>
      <c r="CF10" s="58"/>
      <c r="CG10" s="58"/>
      <c r="CH10" s="58"/>
      <c r="CI10" s="58"/>
      <c r="CJ10" s="58"/>
      <c r="CK10" s="58"/>
      <c r="CL10" s="58"/>
      <c r="CM10" s="58"/>
      <c r="CN10" s="58"/>
      <c r="CO10" s="58"/>
      <c r="CP10" s="58"/>
      <c r="CQ10" s="58"/>
      <c r="CR10" s="58"/>
      <c r="CS10" s="58"/>
      <c r="CT10" s="58"/>
      <c r="CU10" s="58"/>
      <c r="CV10" s="58"/>
      <c r="CW10" s="58"/>
      <c r="CX10" s="58"/>
      <c r="CY10" s="58"/>
      <c r="CZ10" s="58"/>
      <c r="DA10" s="58"/>
      <c r="DB10" s="58"/>
      <c r="DC10" s="58"/>
      <c r="DD10" s="58"/>
      <c r="DE10" s="58"/>
      <c r="DF10" s="58"/>
      <c r="DG10" s="58"/>
      <c r="DH10" s="58"/>
      <c r="DI10" s="58"/>
      <c r="DJ10" s="58"/>
      <c r="DK10" s="58"/>
      <c r="DL10" s="58"/>
      <c r="DM10" s="58"/>
      <c r="DN10" s="58"/>
      <c r="DO10" s="58"/>
      <c r="DP10" s="58"/>
      <c r="DQ10" s="58"/>
      <c r="DR10" s="58"/>
      <c r="DS10" s="58"/>
      <c r="DT10" s="58"/>
      <c r="DU10" s="58"/>
      <c r="DV10" s="58"/>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c r="FF10" s="58"/>
      <c r="FG10" s="58"/>
      <c r="FH10" s="58"/>
      <c r="FI10" s="58"/>
      <c r="FJ10" s="58"/>
      <c r="FK10" s="58"/>
      <c r="FL10" s="58"/>
      <c r="FM10" s="58"/>
      <c r="FN10" s="58"/>
      <c r="FO10" s="58"/>
      <c r="FP10" s="58"/>
      <c r="FQ10" s="58"/>
      <c r="FR10" s="58"/>
      <c r="FS10" s="58"/>
      <c r="FT10" s="58"/>
      <c r="FU10" s="58"/>
      <c r="FV10" s="58"/>
      <c r="FW10" s="58"/>
      <c r="FX10" s="58"/>
      <c r="FY10" s="58"/>
      <c r="FZ10" s="58"/>
      <c r="GA10" s="58"/>
      <c r="GB10" s="58"/>
      <c r="GC10" s="58"/>
      <c r="GD10" s="58"/>
      <c r="GE10" s="58"/>
      <c r="GF10" s="58"/>
      <c r="GG10" s="58"/>
      <c r="GH10" s="58"/>
      <c r="GI10" s="58"/>
      <c r="GJ10" s="58"/>
      <c r="GK10" s="58"/>
      <c r="GL10" s="58"/>
      <c r="GM10" s="58"/>
      <c r="GN10" s="58"/>
      <c r="GO10" s="58"/>
      <c r="GP10" s="58"/>
      <c r="GQ10" s="58"/>
      <c r="GR10" s="58"/>
      <c r="GS10" s="58"/>
      <c r="GT10" s="58"/>
      <c r="GU10" s="58"/>
      <c r="GV10" s="58"/>
      <c r="GW10" s="58"/>
      <c r="GX10" s="58"/>
      <c r="GY10" s="58"/>
      <c r="GZ10" s="58"/>
      <c r="HA10" s="58"/>
      <c r="HB10" s="58"/>
      <c r="HC10" s="58"/>
      <c r="HD10" s="58"/>
      <c r="HE10" s="58"/>
      <c r="HF10" s="58"/>
      <c r="HG10" s="58"/>
      <c r="HH10" s="58"/>
      <c r="HI10" s="58"/>
      <c r="HJ10" s="58"/>
      <c r="HK10" s="58"/>
      <c r="HL10" s="58"/>
      <c r="HM10" s="58"/>
      <c r="HN10" s="58"/>
      <c r="HO10" s="58"/>
      <c r="HP10" s="58"/>
      <c r="HQ10" s="58"/>
      <c r="HR10" s="58"/>
      <c r="HS10" s="58"/>
      <c r="HT10" s="58"/>
      <c r="HU10" s="58"/>
      <c r="HV10" s="58"/>
      <c r="HW10" s="58"/>
      <c r="HX10" s="58"/>
      <c r="HY10" s="58"/>
      <c r="HZ10" s="58"/>
      <c r="IA10" s="58"/>
      <c r="IB10" s="58"/>
      <c r="IC10" s="58"/>
      <c r="ID10" s="58"/>
      <c r="IE10" s="58"/>
      <c r="IF10" s="58"/>
      <c r="IG10" s="58"/>
      <c r="IH10" s="58"/>
      <c r="II10" s="58"/>
      <c r="IJ10" s="58"/>
      <c r="IK10" s="58"/>
      <c r="IL10" s="58"/>
      <c r="IM10" s="58"/>
      <c r="IN10" s="58"/>
      <c r="IO10" s="58"/>
      <c r="IP10" s="58"/>
    </row>
    <row r="11" spans="1:250" ht="16">
      <c r="A11" s="464" t="s">
        <v>348</v>
      </c>
      <c r="B11" s="64"/>
      <c r="C11" s="63"/>
      <c r="D11" s="62">
        <f>D4-D9</f>
        <v>-133570</v>
      </c>
      <c r="E11" s="62">
        <f t="shared" ref="E11:AB11" si="26">E4-E9</f>
        <v>-103875.68</v>
      </c>
      <c r="F11" s="62">
        <f t="shared" si="26"/>
        <v>-178570</v>
      </c>
      <c r="G11" s="62">
        <f t="shared" si="26"/>
        <v>-97509</v>
      </c>
      <c r="H11" s="62">
        <f t="shared" si="26"/>
        <v>64538.910000000033</v>
      </c>
      <c r="I11" s="62">
        <f t="shared" si="26"/>
        <v>18878.040000000037</v>
      </c>
      <c r="J11" s="62">
        <f t="shared" si="26"/>
        <v>149836.33600000007</v>
      </c>
      <c r="K11" s="62">
        <f t="shared" si="26"/>
        <v>44928.708999999973</v>
      </c>
      <c r="L11" s="62">
        <f t="shared" si="26"/>
        <v>-13391.489999999991</v>
      </c>
      <c r="M11" s="62">
        <f t="shared" si="26"/>
        <v>27740.209999999963</v>
      </c>
      <c r="N11" s="62">
        <f t="shared" si="26"/>
        <v>135649.02799999999</v>
      </c>
      <c r="O11" s="62">
        <f t="shared" si="26"/>
        <v>53840.209999999963</v>
      </c>
      <c r="P11" s="62"/>
      <c r="Q11" s="62">
        <f t="shared" si="26"/>
        <v>33808.885000000009</v>
      </c>
      <c r="R11" s="62">
        <f t="shared" si="26"/>
        <v>-74195.325000000012</v>
      </c>
      <c r="S11" s="62">
        <f t="shared" si="26"/>
        <v>-55713.260000000009</v>
      </c>
      <c r="T11" s="62">
        <f t="shared" si="26"/>
        <v>-132960.85</v>
      </c>
      <c r="U11" s="62">
        <f t="shared" si="26"/>
        <v>-132960.85</v>
      </c>
      <c r="V11" s="62">
        <f t="shared" si="26"/>
        <v>-132960.85</v>
      </c>
      <c r="W11" s="62">
        <f t="shared" si="26"/>
        <v>-219100</v>
      </c>
      <c r="X11" s="62">
        <f t="shared" si="26"/>
        <v>-219100</v>
      </c>
      <c r="Y11" s="62">
        <f t="shared" si="26"/>
        <v>-219100</v>
      </c>
      <c r="Z11" s="62">
        <f t="shared" si="26"/>
        <v>-219100</v>
      </c>
      <c r="AA11" s="62">
        <f t="shared" si="26"/>
        <v>-219100</v>
      </c>
      <c r="AB11" s="62">
        <f t="shared" si="26"/>
        <v>-219100</v>
      </c>
    </row>
    <row r="12" spans="1:250" ht="15">
      <c r="A12" s="461" t="s">
        <v>349</v>
      </c>
      <c r="B12" s="64"/>
      <c r="C12" s="63"/>
      <c r="D12" s="65">
        <f>D11+B12</f>
        <v>-133570</v>
      </c>
      <c r="E12" s="65">
        <f t="shared" ref="E12:O12" si="27">E11+C12</f>
        <v>-103875.68</v>
      </c>
      <c r="F12" s="65">
        <f t="shared" si="27"/>
        <v>-312140</v>
      </c>
      <c r="G12" s="65">
        <f t="shared" si="27"/>
        <v>-201384.68</v>
      </c>
      <c r="H12" s="65">
        <f t="shared" si="27"/>
        <v>-247601.08999999997</v>
      </c>
      <c r="I12" s="65">
        <f t="shared" si="27"/>
        <v>-182506.63999999996</v>
      </c>
      <c r="J12" s="65">
        <f t="shared" si="27"/>
        <v>-97764.753999999899</v>
      </c>
      <c r="K12" s="65">
        <f t="shared" si="27"/>
        <v>-137577.93099999998</v>
      </c>
      <c r="L12" s="65">
        <f t="shared" si="27"/>
        <v>-111156.24399999989</v>
      </c>
      <c r="M12" s="65">
        <f t="shared" si="27"/>
        <v>-109837.72100000002</v>
      </c>
      <c r="N12" s="65">
        <f t="shared" si="27"/>
        <v>24492.784000000102</v>
      </c>
      <c r="O12" s="65">
        <f t="shared" si="27"/>
        <v>-55997.511000000057</v>
      </c>
      <c r="P12" s="65"/>
      <c r="Q12" s="65">
        <f t="shared" ref="Q12" si="28">Q11+O12</f>
        <v>-22188.626000000047</v>
      </c>
      <c r="R12" s="65">
        <f t="shared" ref="R12" si="29">R11+P12</f>
        <v>-74195.325000000012</v>
      </c>
      <c r="S12" s="65">
        <f t="shared" ref="S12" si="30">S11+Q12</f>
        <v>-77901.886000000057</v>
      </c>
      <c r="T12" s="65">
        <f t="shared" ref="T12" si="31">T11+R12</f>
        <v>-207156.17500000002</v>
      </c>
      <c r="U12" s="65">
        <f t="shared" ref="U12" si="32">U11+S12</f>
        <v>-210862.73600000006</v>
      </c>
      <c r="V12" s="65">
        <f t="shared" ref="V12" si="33">V11+T12</f>
        <v>-340117.02500000002</v>
      </c>
      <c r="W12" s="65">
        <f t="shared" ref="W12" si="34">W11+U12</f>
        <v>-429962.73600000003</v>
      </c>
      <c r="X12" s="65">
        <f t="shared" ref="X12" si="35">X11+V12</f>
        <v>-559217.02500000002</v>
      </c>
      <c r="Y12" s="65">
        <f t="shared" ref="Y12" si="36">Y11+W12</f>
        <v>-649062.73600000003</v>
      </c>
      <c r="Z12" s="65">
        <f t="shared" ref="Z12" si="37">Z11+X12</f>
        <v>-778317.02500000002</v>
      </c>
      <c r="AA12" s="65">
        <f t="shared" ref="AA12" si="38">AA11+Y12</f>
        <v>-868162.73600000003</v>
      </c>
      <c r="AB12" s="65">
        <f t="shared" ref="AB12" si="39">AB11+Z12</f>
        <v>-997417.02500000002</v>
      </c>
    </row>
    <row r="13" spans="1:250" ht="14">
      <c r="Q13" s="66"/>
      <c r="R13" s="66"/>
      <c r="S13" s="66"/>
      <c r="T13" s="66"/>
      <c r="U13" s="66"/>
      <c r="V13" s="66"/>
      <c r="W13" s="66"/>
      <c r="X13" s="66"/>
      <c r="Y13" s="67"/>
      <c r="Z13" s="66"/>
      <c r="AA13" s="66"/>
    </row>
    <row r="14" spans="1:250" ht="13">
      <c r="Q14" s="66"/>
      <c r="R14" s="66"/>
      <c r="S14" s="66"/>
      <c r="T14" s="66"/>
      <c r="U14" s="66"/>
      <c r="V14" s="66"/>
      <c r="W14" s="66"/>
      <c r="X14" s="66"/>
      <c r="Y14" s="66"/>
      <c r="Z14" s="66"/>
      <c r="AA14" s="66"/>
    </row>
    <row r="15" spans="1:250" ht="13">
      <c r="Q15" s="66"/>
      <c r="R15" s="66"/>
      <c r="S15" s="66"/>
      <c r="T15" s="66"/>
      <c r="U15" s="66"/>
      <c r="V15" s="66"/>
      <c r="W15" s="66"/>
      <c r="X15" s="66"/>
    </row>
    <row r="16" spans="1:250" ht="13">
      <c r="Q16" s="66"/>
      <c r="R16" s="66"/>
      <c r="S16" s="66"/>
      <c r="T16" s="66"/>
      <c r="U16" s="66"/>
      <c r="V16" s="66"/>
      <c r="W16" s="66"/>
      <c r="X16" s="66"/>
    </row>
    <row r="17" spans="17:24" ht="13">
      <c r="Q17" s="66"/>
      <c r="R17" s="66"/>
      <c r="S17" s="66"/>
      <c r="T17" s="66"/>
      <c r="U17" s="66"/>
      <c r="V17" s="66"/>
      <c r="W17" s="66"/>
      <c r="X17" s="66"/>
    </row>
    <row r="18" spans="17:24" ht="13">
      <c r="Q18" s="66"/>
      <c r="R18" s="66"/>
      <c r="S18" s="66"/>
      <c r="T18" s="66"/>
      <c r="U18" s="66"/>
      <c r="V18" s="66"/>
      <c r="W18" s="66"/>
      <c r="X18" s="66"/>
    </row>
    <row r="19" spans="17:24" ht="13">
      <c r="Q19" s="66"/>
      <c r="R19" s="66"/>
      <c r="S19" s="66"/>
      <c r="T19" s="66"/>
      <c r="U19" s="66"/>
      <c r="V19" s="66"/>
      <c r="W19" s="66"/>
      <c r="X19" s="66"/>
    </row>
    <row r="20" spans="17:24" ht="13">
      <c r="R20" s="66"/>
      <c r="S20" s="66"/>
      <c r="T20" s="66"/>
      <c r="U20" s="66"/>
      <c r="V20" s="66"/>
      <c r="W20" s="66"/>
      <c r="X20" s="66"/>
    </row>
  </sheetData>
  <mergeCells count="1">
    <mergeCell ref="A2:B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tabColor rgb="FF548235"/>
  </sheetPr>
  <dimension ref="A1:HV56"/>
  <sheetViews>
    <sheetView workbookViewId="0">
      <pane xSplit="7" topLeftCell="N1" activePane="topRight" state="frozen"/>
      <selection pane="topRight" activeCell="O14" sqref="O14:R14"/>
    </sheetView>
  </sheetViews>
  <sheetFormatPr baseColWidth="10" defaultColWidth="8.83203125" defaultRowHeight="16.5" customHeight="1"/>
  <cols>
    <col min="1" max="1" width="20.5" style="2"/>
    <col min="2" max="2" width="35.6640625" style="2" customWidth="1"/>
    <col min="3" max="3" width="15.1640625" style="2" customWidth="1"/>
    <col min="4" max="4" width="19" style="2" customWidth="1"/>
    <col min="5" max="5" width="12.1640625" style="2" customWidth="1"/>
    <col min="6" max="6" width="17.5" style="2"/>
    <col min="7" max="7" width="22.5" style="2"/>
    <col min="8" max="8" width="16.5" style="2"/>
    <col min="9" max="9" width="23" style="68"/>
    <col min="10" max="11" width="19.83203125" style="2"/>
    <col min="12" max="12" width="17.5" style="2"/>
    <col min="13" max="13" width="15.6640625" style="2"/>
    <col min="14" max="14" width="19.83203125" style="2"/>
    <col min="15" max="16" width="15.6640625" style="2"/>
    <col min="17" max="17" width="15.6640625" style="69"/>
    <col min="18" max="20" width="15.6640625" style="2"/>
    <col min="21" max="21" width="19.83203125" style="70"/>
    <col min="22" max="33" width="15.6640625" style="2"/>
    <col min="34" max="34" width="19.83203125" style="70"/>
    <col min="35" max="230" width="15.6640625" style="2"/>
    <col min="231" max="998" width="13.33203125"/>
    <col min="999" max="999" width="11.5"/>
  </cols>
  <sheetData>
    <row r="1" spans="1:34" ht="45">
      <c r="A1" s="2" t="s">
        <v>110</v>
      </c>
      <c r="B1" s="2" t="s">
        <v>111</v>
      </c>
      <c r="C1" s="2" t="s">
        <v>112</v>
      </c>
      <c r="D1" s="2" t="s">
        <v>113</v>
      </c>
      <c r="E1" s="2" t="s">
        <v>332</v>
      </c>
      <c r="F1" s="71" t="s">
        <v>114</v>
      </c>
      <c r="G1" s="71" t="s">
        <v>115</v>
      </c>
      <c r="H1" s="2" t="s">
        <v>116</v>
      </c>
      <c r="I1" s="73">
        <v>44948</v>
      </c>
      <c r="J1" s="73">
        <v>44249</v>
      </c>
      <c r="K1" s="73">
        <v>44277</v>
      </c>
      <c r="L1" s="73">
        <v>44308</v>
      </c>
      <c r="M1" s="73">
        <v>44338</v>
      </c>
      <c r="N1" s="73">
        <v>44369</v>
      </c>
      <c r="O1" s="73">
        <v>44399</v>
      </c>
      <c r="P1" s="73">
        <v>44430</v>
      </c>
      <c r="Q1" s="73">
        <v>44826</v>
      </c>
      <c r="R1" s="73">
        <v>44491</v>
      </c>
      <c r="S1" s="73">
        <v>44522</v>
      </c>
      <c r="T1" s="73">
        <v>44552</v>
      </c>
      <c r="U1" s="70" t="s">
        <v>117</v>
      </c>
      <c r="V1" s="74">
        <v>44584</v>
      </c>
      <c r="W1" s="74">
        <v>44615</v>
      </c>
      <c r="X1" s="74">
        <v>44643</v>
      </c>
      <c r="Y1" s="74">
        <v>44674</v>
      </c>
      <c r="Z1" s="74">
        <v>44704</v>
      </c>
      <c r="AA1" s="74">
        <v>44735</v>
      </c>
      <c r="AB1" s="74">
        <v>44765</v>
      </c>
      <c r="AC1" s="74">
        <v>44796</v>
      </c>
      <c r="AD1" s="74">
        <v>44827</v>
      </c>
      <c r="AE1" s="74">
        <v>44857</v>
      </c>
      <c r="AF1" s="74">
        <v>44888</v>
      </c>
      <c r="AG1" s="74">
        <v>44918</v>
      </c>
      <c r="AH1" s="70" t="s">
        <v>118</v>
      </c>
    </row>
    <row r="2" spans="1:34" ht="14">
      <c r="A2" s="2" t="s">
        <v>0</v>
      </c>
      <c r="B2" s="95" t="s">
        <v>310</v>
      </c>
      <c r="C2" s="2">
        <v>30</v>
      </c>
      <c r="D2" s="75">
        <v>713400</v>
      </c>
      <c r="E2" s="75" t="s">
        <v>331</v>
      </c>
      <c r="F2" s="68">
        <f>D2-G2</f>
        <v>0</v>
      </c>
      <c r="G2" s="68">
        <f>SUM(I2:T2)+SUM(V2:AG2)+H2</f>
        <v>713400</v>
      </c>
      <c r="H2" s="77">
        <v>589666.67000000004</v>
      </c>
      <c r="I2" s="68">
        <v>45000</v>
      </c>
      <c r="J2" s="68"/>
      <c r="K2" s="68"/>
      <c r="L2" s="68"/>
      <c r="M2" s="2">
        <v>78733.33</v>
      </c>
      <c r="U2" s="76">
        <f t="shared" ref="U2:U20" si="0">SUM(I2:T2)</f>
        <v>123733.33</v>
      </c>
      <c r="AH2" s="76">
        <f t="shared" ref="AH2:AH20" si="1">SUM(V2:AG2)</f>
        <v>0</v>
      </c>
    </row>
    <row r="3" spans="1:34" ht="14">
      <c r="A3" s="2" t="s">
        <v>0</v>
      </c>
      <c r="B3" s="2" t="s">
        <v>311</v>
      </c>
      <c r="C3" s="2">
        <v>30</v>
      </c>
      <c r="D3" s="75">
        <v>1044000</v>
      </c>
      <c r="E3" s="75" t="s">
        <v>331</v>
      </c>
      <c r="F3" s="68">
        <f t="shared" ref="F3:F20" si="2">D3-G3</f>
        <v>0</v>
      </c>
      <c r="G3" s="68">
        <f t="shared" ref="G3:G20" si="3">SUM(I3:T3)+SUM(V3:AG3)+H3</f>
        <v>1044000</v>
      </c>
      <c r="H3" s="77">
        <v>710741.69</v>
      </c>
      <c r="J3" s="68"/>
      <c r="K3" s="68"/>
      <c r="L3" s="68"/>
      <c r="M3" s="448">
        <v>83314.58</v>
      </c>
      <c r="N3" s="448">
        <v>83314.58</v>
      </c>
      <c r="O3" s="448">
        <v>83314.58</v>
      </c>
      <c r="P3" s="448">
        <v>83314.570000000007</v>
      </c>
      <c r="U3" s="76">
        <f t="shared" si="0"/>
        <v>333258.31</v>
      </c>
      <c r="AH3" s="2"/>
    </row>
    <row r="4" spans="1:34" ht="14">
      <c r="A4" s="2" t="s">
        <v>0</v>
      </c>
      <c r="B4" s="95" t="s">
        <v>312</v>
      </c>
      <c r="C4" s="2">
        <v>30</v>
      </c>
      <c r="D4" s="75">
        <f>645468.75-432968.75</f>
        <v>212500</v>
      </c>
      <c r="E4" s="75" t="s">
        <v>331</v>
      </c>
      <c r="F4" s="68">
        <f t="shared" si="2"/>
        <v>0</v>
      </c>
      <c r="G4" s="68">
        <f t="shared" si="3"/>
        <v>212500</v>
      </c>
      <c r="H4" s="77">
        <v>212500</v>
      </c>
      <c r="J4" s="68"/>
      <c r="K4" s="68"/>
      <c r="L4" s="68"/>
      <c r="M4" s="448"/>
      <c r="Q4" s="2"/>
      <c r="U4" s="76">
        <f t="shared" si="0"/>
        <v>0</v>
      </c>
      <c r="AH4" s="2"/>
    </row>
    <row r="5" spans="1:34" ht="14">
      <c r="A5" s="2" t="s">
        <v>0</v>
      </c>
      <c r="B5" s="2" t="s">
        <v>313</v>
      </c>
      <c r="C5" s="2">
        <v>30</v>
      </c>
      <c r="D5" s="75">
        <v>2727160</v>
      </c>
      <c r="E5" s="75" t="s">
        <v>331</v>
      </c>
      <c r="F5" s="68">
        <f t="shared" si="2"/>
        <v>0</v>
      </c>
      <c r="G5" s="68">
        <f t="shared" si="3"/>
        <v>2727160</v>
      </c>
      <c r="H5" s="77">
        <v>1337508.1499999999</v>
      </c>
      <c r="I5" s="68">
        <v>40530</v>
      </c>
      <c r="J5" s="68">
        <f>40530*2</f>
        <v>81060</v>
      </c>
      <c r="K5" s="68">
        <v>40530</v>
      </c>
      <c r="L5" s="68">
        <v>121591</v>
      </c>
      <c r="M5" s="68">
        <v>121591</v>
      </c>
      <c r="N5" s="68">
        <v>121591</v>
      </c>
      <c r="O5" s="68">
        <v>121591</v>
      </c>
      <c r="P5" s="68">
        <v>121591</v>
      </c>
      <c r="Q5" s="68">
        <v>121591</v>
      </c>
      <c r="R5" s="68">
        <v>121591</v>
      </c>
      <c r="S5" s="68">
        <v>121591</v>
      </c>
      <c r="T5" s="68">
        <v>121591</v>
      </c>
      <c r="U5" s="76">
        <f t="shared" si="0"/>
        <v>1256439</v>
      </c>
      <c r="V5" s="2">
        <v>133212.85</v>
      </c>
      <c r="AH5" s="2"/>
    </row>
    <row r="6" spans="1:34" ht="14">
      <c r="A6" s="2" t="s">
        <v>0</v>
      </c>
      <c r="B6" s="95" t="s">
        <v>314</v>
      </c>
      <c r="C6" s="2">
        <v>30</v>
      </c>
      <c r="D6" s="75">
        <f>863675*1.16-225879.51+34164.32</f>
        <v>810147.80999999982</v>
      </c>
      <c r="E6" s="75" t="s">
        <v>331</v>
      </c>
      <c r="F6" s="68">
        <f t="shared" si="2"/>
        <v>0</v>
      </c>
      <c r="G6" s="68">
        <f t="shared" si="3"/>
        <v>810147.80999999994</v>
      </c>
      <c r="H6" s="77">
        <v>775983.49</v>
      </c>
      <c r="J6" s="68">
        <f>29452*1.16</f>
        <v>34164.32</v>
      </c>
      <c r="K6" s="68"/>
      <c r="L6" s="68"/>
      <c r="Q6" s="2"/>
      <c r="U6" s="76">
        <f t="shared" si="0"/>
        <v>34164.32</v>
      </c>
      <c r="AH6" s="2"/>
    </row>
    <row r="7" spans="1:34" ht="30.75" customHeight="1">
      <c r="A7" s="2" t="s">
        <v>0</v>
      </c>
      <c r="B7" s="2" t="s">
        <v>315</v>
      </c>
      <c r="C7" s="2">
        <v>30</v>
      </c>
      <c r="D7" s="75">
        <f>434414*1.16</f>
        <v>503920.24</v>
      </c>
      <c r="E7" s="75" t="s">
        <v>331</v>
      </c>
      <c r="F7" s="68">
        <f t="shared" si="2"/>
        <v>0</v>
      </c>
      <c r="G7" s="68">
        <f t="shared" si="3"/>
        <v>503920.24</v>
      </c>
      <c r="H7" s="77">
        <v>419933.7</v>
      </c>
      <c r="J7" s="68"/>
      <c r="K7" s="68"/>
      <c r="L7" s="68"/>
      <c r="O7" s="2">
        <v>83986.54</v>
      </c>
      <c r="Q7" s="2"/>
      <c r="U7" s="76">
        <f t="shared" si="0"/>
        <v>83986.54</v>
      </c>
      <c r="AH7" s="2"/>
    </row>
    <row r="8" spans="1:34" ht="14">
      <c r="A8" s="2" t="s">
        <v>0</v>
      </c>
      <c r="B8" s="95" t="s">
        <v>316</v>
      </c>
      <c r="C8" s="2">
        <v>30</v>
      </c>
      <c r="D8" s="75">
        <f>185600-61866.68</f>
        <v>123733.32</v>
      </c>
      <c r="E8" s="75" t="s">
        <v>331</v>
      </c>
      <c r="F8" s="68">
        <f t="shared" si="2"/>
        <v>0</v>
      </c>
      <c r="G8" s="68">
        <f t="shared" si="3"/>
        <v>123733.32</v>
      </c>
      <c r="H8" s="77">
        <v>123733.32</v>
      </c>
      <c r="U8" s="76">
        <f t="shared" si="0"/>
        <v>0</v>
      </c>
      <c r="AH8" s="2"/>
    </row>
    <row r="9" spans="1:34" ht="14">
      <c r="A9" s="2" t="s">
        <v>0</v>
      </c>
      <c r="B9" s="2" t="s">
        <v>317</v>
      </c>
      <c r="C9" s="2">
        <v>30</v>
      </c>
      <c r="D9" s="75">
        <f>603200-510400</f>
        <v>92800</v>
      </c>
      <c r="E9" s="75" t="s">
        <v>331</v>
      </c>
      <c r="F9" s="68">
        <f t="shared" si="2"/>
        <v>0</v>
      </c>
      <c r="G9" s="68">
        <f t="shared" si="3"/>
        <v>92800</v>
      </c>
      <c r="H9" s="77">
        <v>92800</v>
      </c>
      <c r="T9" s="70"/>
      <c r="U9" s="76">
        <f t="shared" si="0"/>
        <v>0</v>
      </c>
      <c r="AH9" s="76">
        <f t="shared" si="1"/>
        <v>0</v>
      </c>
    </row>
    <row r="10" spans="1:34" ht="14">
      <c r="A10" s="2" t="s">
        <v>0</v>
      </c>
      <c r="B10" s="95" t="s">
        <v>318</v>
      </c>
      <c r="C10" s="2">
        <v>30</v>
      </c>
      <c r="D10" s="75">
        <f>3700*1.06558*21</f>
        <v>82795.565999999992</v>
      </c>
      <c r="E10" s="75" t="s">
        <v>331</v>
      </c>
      <c r="F10" s="68">
        <f t="shared" si="2"/>
        <v>-4.0000000153668225E-3</v>
      </c>
      <c r="G10" s="68">
        <f t="shared" si="3"/>
        <v>82795.570000000007</v>
      </c>
      <c r="H10" s="77"/>
      <c r="U10" s="76">
        <f t="shared" si="0"/>
        <v>0</v>
      </c>
      <c r="V10" s="2">
        <v>82795.570000000007</v>
      </c>
      <c r="AH10" s="76">
        <f t="shared" si="1"/>
        <v>82795.570000000007</v>
      </c>
    </row>
    <row r="11" spans="1:34" ht="14">
      <c r="A11" s="2" t="s">
        <v>0</v>
      </c>
      <c r="B11" s="2" t="s">
        <v>319</v>
      </c>
      <c r="C11" s="2">
        <v>30</v>
      </c>
      <c r="D11" s="75">
        <v>58696</v>
      </c>
      <c r="E11" s="75" t="s">
        <v>331</v>
      </c>
      <c r="F11" s="68">
        <f t="shared" si="2"/>
        <v>0</v>
      </c>
      <c r="G11" s="68">
        <f t="shared" si="3"/>
        <v>58696</v>
      </c>
      <c r="H11" s="77">
        <v>58696</v>
      </c>
      <c r="U11" s="76">
        <f t="shared" si="0"/>
        <v>0</v>
      </c>
      <c r="AH11" s="76">
        <f t="shared" si="1"/>
        <v>0</v>
      </c>
    </row>
    <row r="12" spans="1:34" ht="14">
      <c r="A12" s="2" t="s">
        <v>0</v>
      </c>
      <c r="B12" s="95" t="s">
        <v>320</v>
      </c>
      <c r="C12" s="2">
        <v>30</v>
      </c>
      <c r="D12" s="75">
        <f>800400-414700</f>
        <v>385700</v>
      </c>
      <c r="E12" s="75" t="s">
        <v>331</v>
      </c>
      <c r="F12" s="68">
        <f t="shared" si="2"/>
        <v>0</v>
      </c>
      <c r="G12" s="68">
        <f t="shared" si="3"/>
        <v>385700</v>
      </c>
      <c r="H12" s="77">
        <v>385700</v>
      </c>
      <c r="U12" s="76">
        <f t="shared" si="0"/>
        <v>0</v>
      </c>
      <c r="AH12" s="76">
        <f t="shared" si="1"/>
        <v>0</v>
      </c>
    </row>
    <row r="13" spans="1:34" ht="14">
      <c r="A13" s="2" t="s">
        <v>0</v>
      </c>
      <c r="B13" s="2" t="s">
        <v>321</v>
      </c>
      <c r="C13" s="2">
        <v>30</v>
      </c>
      <c r="D13" s="75">
        <v>943973.79</v>
      </c>
      <c r="E13" s="75" t="s">
        <v>331</v>
      </c>
      <c r="F13" s="68">
        <f t="shared" si="2"/>
        <v>0</v>
      </c>
      <c r="G13" s="68">
        <f t="shared" si="3"/>
        <v>943973.79</v>
      </c>
      <c r="H13" s="77">
        <v>807625.79</v>
      </c>
      <c r="S13" s="448">
        <v>136348</v>
      </c>
      <c r="U13" s="76">
        <f t="shared" si="0"/>
        <v>136348</v>
      </c>
      <c r="AH13" s="76">
        <f t="shared" si="1"/>
        <v>0</v>
      </c>
    </row>
    <row r="14" spans="1:34" ht="14">
      <c r="A14" s="2" t="s">
        <v>0</v>
      </c>
      <c r="B14" s="95" t="s">
        <v>322</v>
      </c>
      <c r="C14" s="2">
        <v>30</v>
      </c>
      <c r="D14" s="75">
        <f>1178000*1.16</f>
        <v>1366480</v>
      </c>
      <c r="E14" s="75" t="s">
        <v>331</v>
      </c>
      <c r="F14" s="68">
        <f t="shared" si="2"/>
        <v>0</v>
      </c>
      <c r="G14" s="68">
        <f t="shared" si="3"/>
        <v>1366480</v>
      </c>
      <c r="H14" s="77">
        <v>409944</v>
      </c>
      <c r="O14" s="448">
        <v>79711.33</v>
      </c>
      <c r="P14" s="448">
        <v>79711.33</v>
      </c>
      <c r="Q14" s="448">
        <v>79711.33</v>
      </c>
      <c r="R14" s="448">
        <v>79711.33</v>
      </c>
      <c r="S14" s="448">
        <v>79711.37</v>
      </c>
      <c r="T14" s="448">
        <v>79711.33</v>
      </c>
      <c r="U14" s="76">
        <f t="shared" si="0"/>
        <v>478268.02</v>
      </c>
      <c r="V14" s="448">
        <v>79711.33</v>
      </c>
      <c r="W14" s="448">
        <v>79711.33</v>
      </c>
      <c r="X14" s="448">
        <v>79711.33</v>
      </c>
      <c r="Y14" s="448">
        <v>79711.33</v>
      </c>
      <c r="Z14" s="448">
        <v>79711.33</v>
      </c>
      <c r="AA14" s="448">
        <v>79711.33</v>
      </c>
      <c r="AH14" s="76">
        <f t="shared" si="1"/>
        <v>478267.98000000004</v>
      </c>
    </row>
    <row r="15" spans="1:34" ht="14">
      <c r="A15" s="2" t="s">
        <v>0</v>
      </c>
      <c r="B15" s="2" t="s">
        <v>323</v>
      </c>
      <c r="C15" s="2">
        <v>90</v>
      </c>
      <c r="D15" s="75">
        <v>2757840.59</v>
      </c>
      <c r="E15" s="75" t="s">
        <v>331</v>
      </c>
      <c r="F15" s="68">
        <f t="shared" si="2"/>
        <v>0</v>
      </c>
      <c r="G15" s="68">
        <f t="shared" si="3"/>
        <v>2757840.59</v>
      </c>
      <c r="H15" s="77">
        <v>2170185.34</v>
      </c>
      <c r="R15" s="2">
        <v>117531.05</v>
      </c>
      <c r="S15" s="2">
        <v>117531.05</v>
      </c>
      <c r="T15" s="448">
        <v>117531.05</v>
      </c>
      <c r="U15" s="76">
        <f t="shared" si="0"/>
        <v>352593.15</v>
      </c>
      <c r="V15" s="2">
        <v>117531.05</v>
      </c>
      <c r="W15" s="2">
        <v>117531.05</v>
      </c>
      <c r="AH15" s="76">
        <f t="shared" si="1"/>
        <v>235062.1</v>
      </c>
    </row>
    <row r="16" spans="1:34" ht="14">
      <c r="A16" s="2" t="s">
        <v>0</v>
      </c>
      <c r="B16" s="95" t="s">
        <v>324</v>
      </c>
      <c r="C16" s="2">
        <v>60</v>
      </c>
      <c r="D16" s="75">
        <f>(28976.32*19+13081.71*19)*1.16</f>
        <v>926958.98119999992</v>
      </c>
      <c r="E16" s="75" t="s">
        <v>331</v>
      </c>
      <c r="F16" s="68">
        <f t="shared" si="2"/>
        <v>1.1999999405816197E-3</v>
      </c>
      <c r="G16" s="68">
        <f t="shared" si="3"/>
        <v>926958.98</v>
      </c>
      <c r="H16" s="77">
        <v>772463.8</v>
      </c>
      <c r="S16" s="448"/>
      <c r="T16" s="448"/>
      <c r="U16" s="76">
        <f t="shared" si="0"/>
        <v>0</v>
      </c>
      <c r="X16" s="2">
        <v>154495.18</v>
      </c>
      <c r="AH16" s="76">
        <f t="shared" si="1"/>
        <v>154495.18</v>
      </c>
    </row>
    <row r="17" spans="1:230" ht="14">
      <c r="A17" s="2" t="s">
        <v>0</v>
      </c>
      <c r="B17" s="2" t="s">
        <v>325</v>
      </c>
      <c r="C17" s="2">
        <v>60</v>
      </c>
      <c r="D17" s="75">
        <f>890000*1.16-142100</f>
        <v>890299.99999999988</v>
      </c>
      <c r="E17" s="75" t="s">
        <v>331</v>
      </c>
      <c r="F17" s="68">
        <f t="shared" si="2"/>
        <v>0</v>
      </c>
      <c r="G17" s="68">
        <f t="shared" si="3"/>
        <v>890300</v>
      </c>
      <c r="H17" s="77">
        <v>890300</v>
      </c>
      <c r="T17" s="448"/>
      <c r="U17" s="76">
        <f t="shared" si="0"/>
        <v>0</v>
      </c>
      <c r="AH17" s="76">
        <f t="shared" si="1"/>
        <v>0</v>
      </c>
    </row>
    <row r="18" spans="1:230" ht="14">
      <c r="A18" s="2" t="s">
        <v>0</v>
      </c>
      <c r="B18" s="95" t="s">
        <v>326</v>
      </c>
      <c r="C18" s="2">
        <v>60</v>
      </c>
      <c r="D18" s="75">
        <v>87000</v>
      </c>
      <c r="E18" s="75" t="s">
        <v>331</v>
      </c>
      <c r="F18" s="68">
        <f t="shared" si="2"/>
        <v>0</v>
      </c>
      <c r="G18" s="68">
        <f t="shared" si="3"/>
        <v>87000</v>
      </c>
      <c r="H18" s="77">
        <v>43500</v>
      </c>
      <c r="S18" s="448"/>
      <c r="T18" s="448">
        <v>43500</v>
      </c>
      <c r="U18" s="76">
        <f t="shared" si="0"/>
        <v>43500</v>
      </c>
      <c r="AH18" s="76">
        <f t="shared" si="1"/>
        <v>0</v>
      </c>
    </row>
    <row r="19" spans="1:230" ht="14">
      <c r="A19" s="2" t="s">
        <v>0</v>
      </c>
      <c r="B19" s="2" t="s">
        <v>327</v>
      </c>
      <c r="C19" s="2">
        <v>90</v>
      </c>
      <c r="D19" s="75">
        <f>1988544.05+114580.76</f>
        <v>2103124.81</v>
      </c>
      <c r="E19" s="75" t="s">
        <v>331</v>
      </c>
      <c r="F19" s="68">
        <f t="shared" si="2"/>
        <v>0</v>
      </c>
      <c r="G19" s="68">
        <f t="shared" si="3"/>
        <v>2103124.8099999996</v>
      </c>
      <c r="H19" s="77">
        <v>899754.21</v>
      </c>
      <c r="N19" s="69">
        <v>92566.97</v>
      </c>
      <c r="O19" s="69">
        <v>92566.97</v>
      </c>
      <c r="P19" s="69">
        <v>92566.97</v>
      </c>
      <c r="Q19" s="69">
        <v>92566.97</v>
      </c>
      <c r="R19" s="69">
        <v>92566.97</v>
      </c>
      <c r="S19" s="69">
        <v>92566.96</v>
      </c>
      <c r="T19" s="69">
        <v>92566.97</v>
      </c>
      <c r="U19" s="76">
        <f t="shared" si="0"/>
        <v>647968.77999999991</v>
      </c>
      <c r="V19" s="69">
        <v>92566.97</v>
      </c>
      <c r="W19" s="69">
        <v>92566.97</v>
      </c>
      <c r="X19" s="69">
        <v>92566.97</v>
      </c>
      <c r="Y19" s="69">
        <v>92566.97</v>
      </c>
      <c r="Z19" s="69">
        <v>92566.97</v>
      </c>
      <c r="AA19" s="69">
        <v>92566.97</v>
      </c>
      <c r="AH19" s="76">
        <f t="shared" si="1"/>
        <v>555401.81999999995</v>
      </c>
    </row>
    <row r="20" spans="1:230" ht="14">
      <c r="A20" s="2" t="s">
        <v>0</v>
      </c>
      <c r="B20" s="95" t="s">
        <v>328</v>
      </c>
      <c r="C20" s="2">
        <v>90</v>
      </c>
      <c r="D20" s="75">
        <v>87000</v>
      </c>
      <c r="E20" s="75" t="s">
        <v>331</v>
      </c>
      <c r="F20" s="68">
        <f t="shared" si="2"/>
        <v>0</v>
      </c>
      <c r="G20" s="68">
        <f t="shared" si="3"/>
        <v>87000</v>
      </c>
      <c r="H20" s="77">
        <v>43500</v>
      </c>
      <c r="S20" s="2">
        <v>43500</v>
      </c>
      <c r="U20" s="76">
        <f t="shared" si="0"/>
        <v>43500</v>
      </c>
      <c r="AH20" s="76">
        <f t="shared" si="1"/>
        <v>0</v>
      </c>
    </row>
    <row r="21" spans="1:230" ht="14">
      <c r="A21" s="81" t="s">
        <v>119</v>
      </c>
      <c r="B21" s="81"/>
      <c r="C21" s="81"/>
      <c r="D21" s="82">
        <v>1</v>
      </c>
      <c r="E21" s="83"/>
      <c r="F21" s="82">
        <v>1</v>
      </c>
      <c r="G21" s="82">
        <v>1</v>
      </c>
      <c r="H21" s="82">
        <v>1</v>
      </c>
      <c r="I21" s="450">
        <v>1</v>
      </c>
      <c r="J21" s="450">
        <v>1</v>
      </c>
      <c r="K21" s="450">
        <v>1</v>
      </c>
      <c r="L21" s="450">
        <v>1</v>
      </c>
      <c r="M21" s="450">
        <v>1</v>
      </c>
      <c r="N21" s="450">
        <v>0.8</v>
      </c>
      <c r="O21" s="450">
        <v>0.8</v>
      </c>
      <c r="P21" s="450">
        <v>0.7</v>
      </c>
      <c r="Q21" s="450">
        <v>0.7</v>
      </c>
      <c r="R21" s="450">
        <v>0.6</v>
      </c>
      <c r="S21" s="450">
        <v>0.6</v>
      </c>
      <c r="T21" s="450">
        <v>0.6</v>
      </c>
      <c r="U21" s="451">
        <v>1</v>
      </c>
      <c r="V21" s="449">
        <v>0.5</v>
      </c>
      <c r="W21" s="449">
        <v>0.5</v>
      </c>
      <c r="X21" s="449">
        <v>0.5</v>
      </c>
      <c r="Y21" s="449">
        <v>0.5</v>
      </c>
      <c r="Z21" s="449">
        <v>0.5</v>
      </c>
      <c r="AA21" s="449">
        <v>0.5</v>
      </c>
      <c r="AB21" s="449">
        <v>0.5</v>
      </c>
      <c r="AC21" s="449">
        <v>0.5</v>
      </c>
      <c r="AD21" s="449">
        <v>0.5</v>
      </c>
      <c r="AE21" s="449">
        <v>0.5</v>
      </c>
      <c r="AF21" s="449">
        <v>0.5</v>
      </c>
      <c r="AG21" s="449">
        <v>0.5</v>
      </c>
      <c r="AH21" s="84">
        <v>0.85</v>
      </c>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c r="GH21" s="85"/>
      <c r="GI21" s="85"/>
      <c r="GJ21" s="85"/>
      <c r="GK21" s="85"/>
      <c r="GL21" s="85"/>
      <c r="GM21" s="85"/>
      <c r="GN21" s="85"/>
      <c r="GO21" s="85"/>
      <c r="GP21" s="85"/>
      <c r="GQ21" s="85"/>
      <c r="GR21" s="85"/>
      <c r="GS21" s="85"/>
      <c r="GT21" s="85"/>
      <c r="GU21" s="85"/>
      <c r="GV21" s="85"/>
      <c r="GW21" s="85"/>
      <c r="GX21" s="85"/>
      <c r="GY21" s="85"/>
      <c r="GZ21" s="85"/>
      <c r="HA21" s="85"/>
      <c r="HB21" s="85"/>
      <c r="HC21" s="85"/>
      <c r="HD21" s="85"/>
      <c r="HE21" s="85"/>
      <c r="HF21" s="85"/>
      <c r="HG21" s="85"/>
      <c r="HH21" s="85"/>
      <c r="HI21" s="85"/>
      <c r="HJ21" s="85"/>
      <c r="HK21" s="85"/>
      <c r="HL21" s="85"/>
      <c r="HM21" s="85"/>
      <c r="HN21" s="85"/>
      <c r="HO21" s="85"/>
      <c r="HP21" s="85"/>
      <c r="HQ21" s="85"/>
      <c r="HR21" s="85"/>
      <c r="HS21" s="85"/>
      <c r="HT21" s="85"/>
      <c r="HU21" s="85"/>
      <c r="HV21" s="85"/>
    </row>
    <row r="22" spans="1:230" ht="16">
      <c r="A22" s="86" t="s">
        <v>120</v>
      </c>
      <c r="B22" s="86"/>
      <c r="C22" s="86"/>
      <c r="D22" s="87">
        <f>SUM(D2:D20)*D21</f>
        <v>15917531.1072</v>
      </c>
      <c r="E22" s="87"/>
      <c r="F22" s="87">
        <f>SUM(F2:F20)*F21</f>
        <v>-2.8000000747852027E-3</v>
      </c>
      <c r="G22" s="87">
        <f>SUM(G2:G20)*G21</f>
        <v>15917531.109999999</v>
      </c>
      <c r="H22" s="87">
        <f>SUM(H2:H20)*H21</f>
        <v>10744536.16</v>
      </c>
      <c r="I22" s="87">
        <f>SUM(I2:I20)*I21</f>
        <v>85530</v>
      </c>
      <c r="J22" s="87">
        <f>SUM(J2:J20)*J21</f>
        <v>115224.32000000001</v>
      </c>
      <c r="K22" s="87">
        <f>SUM(K3:K20)*K21</f>
        <v>40530</v>
      </c>
      <c r="L22" s="87">
        <f>SUM(L2:L20)*L21</f>
        <v>121591</v>
      </c>
      <c r="M22" s="87">
        <f>SUM(M2:M20)*M21</f>
        <v>283638.91000000003</v>
      </c>
      <c r="N22" s="87">
        <f>SUM(N3:N20)*N21</f>
        <v>237978.04000000004</v>
      </c>
      <c r="O22" s="87">
        <f>SUM(O2:O20)*O21</f>
        <v>368936.33600000007</v>
      </c>
      <c r="P22" s="87">
        <f>SUM(P2:P20)*P21</f>
        <v>264028.70899999997</v>
      </c>
      <c r="Q22" s="88">
        <f>SUM(Q2:Q20)*Q21</f>
        <v>205708.51</v>
      </c>
      <c r="R22" s="87">
        <f>SUM(R2:R20)*R21</f>
        <v>246840.20999999996</v>
      </c>
      <c r="S22" s="87">
        <f>SUM(S2:S20)*S21</f>
        <v>354749.02799999999</v>
      </c>
      <c r="T22" s="87">
        <f>SUM(T2:T20)*T21</f>
        <v>272940.20999999996</v>
      </c>
      <c r="U22" s="76">
        <f t="shared" ref="U22" si="4">SUM(I22:T22)</f>
        <v>2597695.273</v>
      </c>
      <c r="V22" s="87">
        <f>SUM(V2:V20)*V21</f>
        <v>252908.88500000001</v>
      </c>
      <c r="W22" s="87">
        <f>SUM(W2:W20)*W21</f>
        <v>144904.67499999999</v>
      </c>
      <c r="X22" s="87">
        <f>SUM(X2:X20)*X21</f>
        <v>163386.74</v>
      </c>
      <c r="Y22" s="87">
        <f>SUM(Y2:Y20)*Y21</f>
        <v>86139.15</v>
      </c>
      <c r="Z22" s="87">
        <f>SUM(Z2:Z20)*Z21</f>
        <v>86139.15</v>
      </c>
      <c r="AA22" s="87">
        <f>SUM(AA2:AA20)*AA21</f>
        <v>86139.15</v>
      </c>
      <c r="AB22" s="87">
        <f>SUM(AB2:AB20)*AB21</f>
        <v>0</v>
      </c>
      <c r="AC22" s="87">
        <f>SUM(AC2:AC20)*AC21</f>
        <v>0</v>
      </c>
      <c r="AD22" s="87">
        <f>SUM(AD2:AD20)*AD21</f>
        <v>0</v>
      </c>
      <c r="AE22" s="87">
        <f>SUM(AE2:AE20)*AE21</f>
        <v>0</v>
      </c>
      <c r="AF22" s="87">
        <f>SUM(AF2:AF20)*AF21</f>
        <v>0</v>
      </c>
      <c r="AG22" s="87">
        <f>SUM(AG2:AG20)*AG21</f>
        <v>0</v>
      </c>
      <c r="AH22" s="87">
        <f>SUM(AH2:AH20)*AH21</f>
        <v>1280119.2524999999</v>
      </c>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row>
    <row r="28" spans="1:230" ht="14"/>
    <row r="29" spans="1:230" ht="14"/>
    <row r="56" spans="2:2" ht="14">
      <c r="B56" s="70"/>
    </row>
  </sheetData>
  <autoFilter ref="A1:AH22" xr:uid="{00000000-0009-0000-0000-000008000000}">
    <filterColumn colId="24">
      <filters>
        <filter val="$ 1,510,726.00"/>
        <filter val="$ 1,797,478.00"/>
        <filter val="$ 146,300.00"/>
        <filter val="$ 19,896.76"/>
        <filter val="$ 219,240.00"/>
        <filter val="$ 4,232,749.38"/>
        <filter val="$ 4,379,049.38"/>
        <filter val="$ 583,549.60"/>
        <filter val="$ 8,838.62"/>
        <filter val="$ 93,020.40"/>
      </filters>
    </filterColumn>
  </autoFilter>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T21"/>
  <sheetViews>
    <sheetView workbookViewId="0">
      <pane xSplit="2" ySplit="1" topLeftCell="E2" activePane="bottomRight" state="frozen"/>
      <selection pane="topRight"/>
      <selection pane="bottomLeft"/>
      <selection pane="bottomRight" activeCell="K9" sqref="K9"/>
    </sheetView>
  </sheetViews>
  <sheetFormatPr baseColWidth="10" defaultColWidth="8.83203125" defaultRowHeight="18.75" customHeight="1"/>
  <cols>
    <col min="1" max="1" width="15.6640625" style="2"/>
    <col min="2" max="2" width="47.83203125" style="2"/>
    <col min="3" max="3" width="16.83203125" style="2"/>
    <col min="4" max="4" width="23.83203125" style="2"/>
    <col min="5" max="5" width="20.5" style="2"/>
    <col min="6" max="6" width="23.6640625" style="2"/>
    <col min="7" max="7" width="35.5" style="2"/>
    <col min="8" max="8" width="43.5" style="2" customWidth="1"/>
    <col min="9" max="9" width="19.1640625" style="2" customWidth="1"/>
    <col min="10" max="10" width="17.1640625" style="2"/>
    <col min="11" max="11" width="14.83203125" style="2" customWidth="1"/>
    <col min="12" max="12" width="13.83203125" style="2"/>
    <col min="13" max="13" width="18.5" style="2"/>
    <col min="14" max="14" width="20.83203125" style="2"/>
    <col min="15" max="16" width="17" style="2"/>
    <col min="17" max="17" width="20.83203125" style="2"/>
    <col min="18" max="18" width="18.5" style="2"/>
    <col min="19" max="19" width="17.1640625" style="2"/>
    <col min="20" max="20" width="14.1640625" style="2"/>
    <col min="21" max="21" width="14" style="2"/>
    <col min="22" max="22" width="20.83203125" style="2"/>
    <col min="23" max="254" width="15.6640625" style="2"/>
    <col min="255" max="1010" width="13.33203125"/>
    <col min="1011" max="1011" width="11.5"/>
  </cols>
  <sheetData>
    <row r="1" spans="1:35" ht="30">
      <c r="A1" s="90" t="s">
        <v>121</v>
      </c>
      <c r="B1" s="90" t="s">
        <v>122</v>
      </c>
      <c r="C1" s="91" t="s">
        <v>123</v>
      </c>
      <c r="D1" s="91" t="s">
        <v>124</v>
      </c>
      <c r="E1" s="91" t="s">
        <v>125</v>
      </c>
      <c r="F1" s="90" t="s">
        <v>126</v>
      </c>
      <c r="G1" s="91" t="s">
        <v>127</v>
      </c>
      <c r="H1" s="92" t="s">
        <v>128</v>
      </c>
      <c r="I1" s="93" t="s">
        <v>329</v>
      </c>
      <c r="J1" s="94">
        <v>44927</v>
      </c>
      <c r="K1" s="94">
        <v>44958</v>
      </c>
      <c r="L1" s="94">
        <v>44986</v>
      </c>
      <c r="M1" s="94">
        <v>45017</v>
      </c>
      <c r="N1" s="94">
        <v>45047</v>
      </c>
      <c r="O1" s="94">
        <v>45078</v>
      </c>
      <c r="P1" s="94">
        <v>45108</v>
      </c>
      <c r="Q1" s="94">
        <v>45139</v>
      </c>
      <c r="R1" s="94">
        <v>45170</v>
      </c>
      <c r="S1" s="94">
        <v>45200</v>
      </c>
      <c r="T1" s="94">
        <v>45231</v>
      </c>
      <c r="U1" s="94">
        <v>45261</v>
      </c>
      <c r="V1" s="93" t="s">
        <v>129</v>
      </c>
      <c r="W1" s="74">
        <v>45314</v>
      </c>
      <c r="X1" s="74">
        <v>45345</v>
      </c>
      <c r="Y1" s="74">
        <v>45374</v>
      </c>
      <c r="Z1" s="74">
        <v>45405</v>
      </c>
      <c r="AA1" s="74">
        <v>45435</v>
      </c>
      <c r="AB1" s="74">
        <v>45466</v>
      </c>
      <c r="AC1" s="74">
        <v>45496</v>
      </c>
      <c r="AD1" s="74">
        <v>45527</v>
      </c>
      <c r="AE1" s="74">
        <v>45558</v>
      </c>
      <c r="AF1" s="74">
        <v>45588</v>
      </c>
      <c r="AG1" s="74">
        <v>45619</v>
      </c>
      <c r="AH1" s="74">
        <v>45649</v>
      </c>
      <c r="AI1" s="68" t="s">
        <v>330</v>
      </c>
    </row>
    <row r="2" spans="1:35" ht="14">
      <c r="A2" s="2" t="s">
        <v>0</v>
      </c>
      <c r="B2" s="95" t="s">
        <v>310</v>
      </c>
      <c r="C2" s="80">
        <v>0.02</v>
      </c>
      <c r="D2" s="75">
        <f t="shared" ref="D2:D20" si="0">C2*F2</f>
        <v>14268</v>
      </c>
      <c r="E2" s="75" t="s">
        <v>331</v>
      </c>
      <c r="F2" s="75">
        <v>713400</v>
      </c>
      <c r="G2" s="68">
        <f>F2-H2</f>
        <v>78733.329999999958</v>
      </c>
      <c r="H2" s="75">
        <f>SUM(J2:U2)+SUM(W2:AH2)+I2</f>
        <v>634666.67000000004</v>
      </c>
      <c r="I2" s="77">
        <v>589666.67000000004</v>
      </c>
      <c r="J2" s="68">
        <v>45000</v>
      </c>
      <c r="K2" s="68"/>
      <c r="L2" s="68"/>
      <c r="M2" s="68"/>
      <c r="N2" s="68"/>
      <c r="O2" s="68"/>
      <c r="P2" s="68"/>
      <c r="Q2" s="68"/>
      <c r="R2" s="68"/>
      <c r="S2" s="68"/>
      <c r="T2" s="68"/>
      <c r="U2" s="68"/>
      <c r="V2" s="77">
        <f t="shared" ref="V2:V20" si="1">SUM(J2:U2)</f>
        <v>45000</v>
      </c>
      <c r="W2" s="68"/>
      <c r="X2" s="68"/>
      <c r="Y2" s="68"/>
      <c r="Z2" s="68"/>
      <c r="AA2" s="68"/>
      <c r="AB2" s="68"/>
      <c r="AC2" s="68"/>
      <c r="AD2" s="68"/>
      <c r="AE2" s="68"/>
      <c r="AF2" s="68"/>
      <c r="AG2" s="68"/>
      <c r="AH2" s="68"/>
      <c r="AI2" s="68">
        <f t="shared" ref="AI2:AI20" si="2">SUM(W2:AH2)</f>
        <v>0</v>
      </c>
    </row>
    <row r="3" spans="1:35" ht="14">
      <c r="A3" s="2" t="s">
        <v>0</v>
      </c>
      <c r="B3" s="2" t="s">
        <v>311</v>
      </c>
      <c r="C3" s="80">
        <v>0.01</v>
      </c>
      <c r="D3" s="75">
        <f t="shared" si="0"/>
        <v>10440</v>
      </c>
      <c r="E3" s="75" t="s">
        <v>331</v>
      </c>
      <c r="F3" s="75">
        <v>1044000</v>
      </c>
      <c r="G3" s="68">
        <f t="shared" ref="G3:G20" si="3">F3-H3</f>
        <v>333258.31000000006</v>
      </c>
      <c r="H3" s="75">
        <f t="shared" ref="H3:H20" si="4">SUM(J3:U3)+SUM(W3:AH3)+I3</f>
        <v>710741.69</v>
      </c>
      <c r="I3" s="77">
        <v>710741.69</v>
      </c>
      <c r="J3" s="68"/>
      <c r="K3" s="68"/>
      <c r="L3" s="68"/>
      <c r="M3" s="68"/>
      <c r="N3" s="68"/>
      <c r="O3" s="68"/>
      <c r="P3" s="68"/>
      <c r="Q3" s="68"/>
      <c r="R3" s="68"/>
      <c r="S3" s="68"/>
      <c r="T3" s="68"/>
      <c r="U3" s="68"/>
      <c r="V3" s="77">
        <f t="shared" si="1"/>
        <v>0</v>
      </c>
      <c r="W3" s="68"/>
      <c r="X3" s="68"/>
      <c r="Y3" s="68"/>
      <c r="Z3" s="68"/>
      <c r="AA3" s="68"/>
      <c r="AB3" s="68"/>
      <c r="AC3" s="68"/>
      <c r="AD3" s="68"/>
      <c r="AE3" s="68"/>
      <c r="AF3" s="68"/>
      <c r="AG3" s="68"/>
      <c r="AH3" s="68"/>
      <c r="AI3" s="68">
        <f t="shared" si="2"/>
        <v>0</v>
      </c>
    </row>
    <row r="4" spans="1:35" ht="14">
      <c r="A4" s="2" t="s">
        <v>0</v>
      </c>
      <c r="B4" s="95" t="s">
        <v>312</v>
      </c>
      <c r="C4" s="80">
        <v>0.02</v>
      </c>
      <c r="D4" s="75">
        <f t="shared" si="0"/>
        <v>4250</v>
      </c>
      <c r="E4" s="75" t="s">
        <v>331</v>
      </c>
      <c r="F4" s="75">
        <f>645468.75-432968.75</f>
        <v>212500</v>
      </c>
      <c r="G4" s="68">
        <f t="shared" si="3"/>
        <v>0</v>
      </c>
      <c r="H4" s="75">
        <f t="shared" si="4"/>
        <v>212500</v>
      </c>
      <c r="I4" s="77">
        <v>212500</v>
      </c>
      <c r="J4" s="68"/>
      <c r="K4" s="68"/>
      <c r="L4" s="68"/>
      <c r="M4" s="68"/>
      <c r="N4" s="68"/>
      <c r="O4" s="68"/>
      <c r="P4" s="68"/>
      <c r="Q4" s="68"/>
      <c r="R4" s="68"/>
      <c r="S4" s="68"/>
      <c r="T4" s="68"/>
      <c r="U4" s="68"/>
      <c r="V4" s="77">
        <f t="shared" si="1"/>
        <v>0</v>
      </c>
      <c r="W4" s="68"/>
      <c r="X4" s="68"/>
      <c r="Y4" s="68"/>
      <c r="Z4" s="68"/>
      <c r="AA4" s="68"/>
      <c r="AB4" s="68"/>
      <c r="AC4" s="68"/>
      <c r="AD4" s="68"/>
      <c r="AE4" s="68"/>
      <c r="AF4" s="68"/>
      <c r="AG4" s="68"/>
      <c r="AH4" s="68"/>
      <c r="AI4" s="68">
        <f t="shared" si="2"/>
        <v>0</v>
      </c>
    </row>
    <row r="5" spans="1:35" ht="14">
      <c r="A5" s="2" t="s">
        <v>0</v>
      </c>
      <c r="B5" s="2" t="s">
        <v>313</v>
      </c>
      <c r="C5" s="80">
        <v>0.8</v>
      </c>
      <c r="D5" s="75">
        <f t="shared" si="0"/>
        <v>2181728</v>
      </c>
      <c r="E5" s="75" t="s">
        <v>331</v>
      </c>
      <c r="F5" s="75">
        <v>2727160</v>
      </c>
      <c r="G5" s="68">
        <f t="shared" si="3"/>
        <v>1105940.8500000001</v>
      </c>
      <c r="H5" s="75">
        <f t="shared" si="4"/>
        <v>1621219.15</v>
      </c>
      <c r="I5" s="77">
        <v>1337508.1499999999</v>
      </c>
      <c r="J5" s="68">
        <v>40530</v>
      </c>
      <c r="K5" s="68">
        <f>40530*2</f>
        <v>81060</v>
      </c>
      <c r="L5" s="68">
        <v>40530</v>
      </c>
      <c r="M5" s="68">
        <v>121591</v>
      </c>
      <c r="N5" s="68"/>
      <c r="O5" s="68"/>
      <c r="P5" s="68"/>
      <c r="Q5" s="68"/>
      <c r="R5" s="68"/>
      <c r="S5" s="68"/>
      <c r="T5" s="68"/>
      <c r="U5" s="68"/>
      <c r="V5" s="77">
        <f t="shared" si="1"/>
        <v>283711</v>
      </c>
      <c r="W5" s="68"/>
      <c r="X5" s="68"/>
      <c r="Y5" s="68"/>
      <c r="Z5" s="68"/>
      <c r="AA5" s="68"/>
      <c r="AB5" s="68"/>
      <c r="AC5" s="68"/>
      <c r="AD5" s="68"/>
      <c r="AE5" s="68"/>
      <c r="AF5" s="68"/>
      <c r="AG5" s="68"/>
      <c r="AH5" s="68"/>
      <c r="AI5" s="68">
        <f t="shared" si="2"/>
        <v>0</v>
      </c>
    </row>
    <row r="6" spans="1:35" ht="14">
      <c r="A6" s="2" t="s">
        <v>0</v>
      </c>
      <c r="B6" s="95" t="s">
        <v>314</v>
      </c>
      <c r="C6" s="80">
        <v>0.5</v>
      </c>
      <c r="D6" s="75">
        <f t="shared" si="0"/>
        <v>405073.90499999991</v>
      </c>
      <c r="E6" s="75" t="s">
        <v>331</v>
      </c>
      <c r="F6" s="75">
        <f>863675*1.16-225879.51+34164.32</f>
        <v>810147.80999999982</v>
      </c>
      <c r="G6" s="68">
        <f t="shared" si="3"/>
        <v>0</v>
      </c>
      <c r="H6" s="75">
        <f t="shared" si="4"/>
        <v>810147.80999999994</v>
      </c>
      <c r="I6" s="77">
        <v>775983.49</v>
      </c>
      <c r="J6" s="68"/>
      <c r="K6" s="68">
        <f>29452*1.16</f>
        <v>34164.32</v>
      </c>
      <c r="L6" s="68"/>
      <c r="M6" s="68"/>
      <c r="N6" s="68"/>
      <c r="O6" s="68"/>
      <c r="P6" s="68"/>
      <c r="Q6" s="68"/>
      <c r="R6" s="68"/>
      <c r="S6" s="68"/>
      <c r="T6" s="68"/>
      <c r="U6" s="68"/>
      <c r="V6" s="77">
        <f t="shared" si="1"/>
        <v>34164.32</v>
      </c>
      <c r="W6" s="68"/>
      <c r="X6" s="68"/>
      <c r="Y6" s="68"/>
      <c r="Z6" s="68"/>
      <c r="AA6" s="68"/>
      <c r="AB6" s="68"/>
      <c r="AC6" s="68"/>
      <c r="AD6" s="68"/>
      <c r="AE6" s="68"/>
      <c r="AF6" s="68"/>
      <c r="AG6" s="68"/>
      <c r="AH6" s="68"/>
      <c r="AI6" s="68">
        <f t="shared" si="2"/>
        <v>0</v>
      </c>
    </row>
    <row r="7" spans="1:35" ht="14">
      <c r="A7" s="2" t="s">
        <v>0</v>
      </c>
      <c r="B7" s="2" t="s">
        <v>315</v>
      </c>
      <c r="C7" s="80">
        <v>0.1</v>
      </c>
      <c r="D7" s="75">
        <f t="shared" si="0"/>
        <v>50392.024000000005</v>
      </c>
      <c r="E7" s="75" t="s">
        <v>331</v>
      </c>
      <c r="F7" s="75">
        <f>434414*1.16</f>
        <v>503920.24</v>
      </c>
      <c r="G7" s="68">
        <f t="shared" si="3"/>
        <v>83986.539999999979</v>
      </c>
      <c r="H7" s="75">
        <f t="shared" si="4"/>
        <v>419933.7</v>
      </c>
      <c r="I7" s="77">
        <v>419933.7</v>
      </c>
      <c r="J7" s="68"/>
      <c r="K7" s="68"/>
      <c r="L7" s="68"/>
      <c r="M7" s="68"/>
      <c r="N7" s="68"/>
      <c r="O7" s="68"/>
      <c r="P7" s="68"/>
      <c r="Q7" s="68"/>
      <c r="R7" s="68"/>
      <c r="S7" s="68"/>
      <c r="T7" s="68"/>
      <c r="U7" s="68"/>
      <c r="V7" s="77">
        <f t="shared" si="1"/>
        <v>0</v>
      </c>
      <c r="W7" s="68"/>
      <c r="X7" s="68"/>
      <c r="Y7" s="68"/>
      <c r="Z7" s="68"/>
      <c r="AA7" s="68"/>
      <c r="AB7" s="68"/>
      <c r="AC7" s="68"/>
      <c r="AD7" s="68"/>
      <c r="AE7" s="68"/>
      <c r="AF7" s="68"/>
      <c r="AG7" s="68"/>
      <c r="AH7" s="68"/>
      <c r="AI7" s="68">
        <f t="shared" si="2"/>
        <v>0</v>
      </c>
    </row>
    <row r="8" spans="1:35" ht="14">
      <c r="A8" s="2" t="s">
        <v>0</v>
      </c>
      <c r="B8" s="95" t="s">
        <v>316</v>
      </c>
      <c r="C8" s="80">
        <v>0</v>
      </c>
      <c r="D8" s="75">
        <f t="shared" si="0"/>
        <v>0</v>
      </c>
      <c r="E8" s="75" t="s">
        <v>331</v>
      </c>
      <c r="F8" s="75">
        <f>185600-61866.68</f>
        <v>123733.32</v>
      </c>
      <c r="G8" s="68">
        <f t="shared" si="3"/>
        <v>0</v>
      </c>
      <c r="H8" s="75">
        <f t="shared" si="4"/>
        <v>123733.32</v>
      </c>
      <c r="I8" s="77">
        <v>123733.32</v>
      </c>
      <c r="J8" s="68"/>
      <c r="K8" s="68"/>
      <c r="L8" s="68"/>
      <c r="M8" s="68"/>
      <c r="N8" s="68"/>
      <c r="O8" s="68"/>
      <c r="P8" s="68"/>
      <c r="Q8" s="68"/>
      <c r="R8" s="68"/>
      <c r="S8" s="68"/>
      <c r="T8" s="68"/>
      <c r="U8" s="68"/>
      <c r="V8" s="77">
        <f t="shared" si="1"/>
        <v>0</v>
      </c>
      <c r="W8" s="68"/>
      <c r="X8" s="68"/>
      <c r="Y8" s="68"/>
      <c r="Z8" s="68"/>
      <c r="AA8" s="68"/>
      <c r="AB8" s="68"/>
      <c r="AC8" s="68"/>
      <c r="AD8" s="68"/>
      <c r="AE8" s="68"/>
      <c r="AF8" s="68"/>
      <c r="AG8" s="68"/>
      <c r="AH8" s="68"/>
      <c r="AI8" s="68">
        <f t="shared" si="2"/>
        <v>0</v>
      </c>
    </row>
    <row r="9" spans="1:35" ht="14">
      <c r="A9" s="2" t="s">
        <v>0</v>
      </c>
      <c r="B9" s="2" t="s">
        <v>317</v>
      </c>
      <c r="C9" s="80">
        <v>0</v>
      </c>
      <c r="D9" s="75">
        <f t="shared" si="0"/>
        <v>0</v>
      </c>
      <c r="E9" s="75" t="s">
        <v>331</v>
      </c>
      <c r="F9" s="75">
        <f>603200-510400</f>
        <v>92800</v>
      </c>
      <c r="G9" s="68">
        <f t="shared" si="3"/>
        <v>0</v>
      </c>
      <c r="H9" s="75">
        <f t="shared" si="4"/>
        <v>92800</v>
      </c>
      <c r="I9" s="77">
        <v>92800</v>
      </c>
      <c r="J9" s="68"/>
      <c r="K9" s="68"/>
      <c r="L9" s="68"/>
      <c r="M9" s="68"/>
      <c r="N9" s="68"/>
      <c r="O9" s="68"/>
      <c r="P9" s="68"/>
      <c r="Q9" s="68"/>
      <c r="R9" s="68"/>
      <c r="S9" s="68"/>
      <c r="T9" s="68"/>
      <c r="U9" s="68"/>
      <c r="V9" s="77">
        <f t="shared" si="1"/>
        <v>0</v>
      </c>
      <c r="W9" s="68"/>
      <c r="X9" s="68"/>
      <c r="Y9" s="68"/>
      <c r="Z9" s="68"/>
      <c r="AA9" s="68"/>
      <c r="AB9" s="68"/>
      <c r="AC9" s="68"/>
      <c r="AD9" s="68"/>
      <c r="AE9" s="68"/>
      <c r="AF9" s="68"/>
      <c r="AG9" s="68"/>
      <c r="AH9" s="68"/>
      <c r="AI9" s="68">
        <f t="shared" si="2"/>
        <v>0</v>
      </c>
    </row>
    <row r="10" spans="1:35" ht="14">
      <c r="A10" s="2" t="s">
        <v>0</v>
      </c>
      <c r="B10" s="95" t="s">
        <v>318</v>
      </c>
      <c r="C10" s="80">
        <v>0</v>
      </c>
      <c r="D10" s="75">
        <f t="shared" si="0"/>
        <v>0</v>
      </c>
      <c r="E10" s="75" t="s">
        <v>331</v>
      </c>
      <c r="F10" s="75">
        <f>3700*1.06558*21</f>
        <v>82795.565999999992</v>
      </c>
      <c r="G10" s="68">
        <f t="shared" si="3"/>
        <v>82795.565999999992</v>
      </c>
      <c r="H10" s="75">
        <f t="shared" si="4"/>
        <v>0</v>
      </c>
      <c r="I10" s="77"/>
      <c r="J10" s="68"/>
      <c r="K10" s="68"/>
      <c r="L10" s="68"/>
      <c r="M10" s="68"/>
      <c r="N10" s="68"/>
      <c r="O10" s="68"/>
      <c r="P10" s="68"/>
      <c r="Q10" s="68"/>
      <c r="R10" s="68"/>
      <c r="S10" s="68"/>
      <c r="T10" s="68"/>
      <c r="U10" s="68"/>
      <c r="V10" s="77">
        <f t="shared" si="1"/>
        <v>0</v>
      </c>
      <c r="W10" s="68"/>
      <c r="X10" s="68"/>
      <c r="Y10" s="68"/>
      <c r="Z10" s="68"/>
      <c r="AA10" s="68"/>
      <c r="AB10" s="68"/>
      <c r="AC10" s="68"/>
      <c r="AD10" s="68"/>
      <c r="AE10" s="68"/>
      <c r="AF10" s="68"/>
      <c r="AG10" s="68"/>
      <c r="AH10" s="68"/>
      <c r="AI10" s="68">
        <f t="shared" si="2"/>
        <v>0</v>
      </c>
    </row>
    <row r="11" spans="1:35" ht="14">
      <c r="A11" s="2" t="s">
        <v>0</v>
      </c>
      <c r="B11" s="2" t="s">
        <v>319</v>
      </c>
      <c r="C11" s="80">
        <v>0</v>
      </c>
      <c r="D11" s="75">
        <f t="shared" si="0"/>
        <v>0</v>
      </c>
      <c r="E11" s="75" t="s">
        <v>331</v>
      </c>
      <c r="F11" s="75">
        <v>58696</v>
      </c>
      <c r="G11" s="68">
        <f t="shared" si="3"/>
        <v>0</v>
      </c>
      <c r="H11" s="75">
        <f t="shared" si="4"/>
        <v>58696</v>
      </c>
      <c r="I11" s="77">
        <v>58696</v>
      </c>
      <c r="J11" s="68"/>
      <c r="K11" s="68"/>
      <c r="L11" s="68"/>
      <c r="M11" s="68"/>
      <c r="N11" s="68"/>
      <c r="O11" s="68"/>
      <c r="P11" s="68"/>
      <c r="Q11" s="68"/>
      <c r="R11" s="68"/>
      <c r="S11" s="68"/>
      <c r="T11" s="68"/>
      <c r="U11" s="68"/>
      <c r="V11" s="77">
        <f t="shared" si="1"/>
        <v>0</v>
      </c>
      <c r="W11" s="68"/>
      <c r="X11" s="68"/>
      <c r="Y11" s="68"/>
      <c r="Z11" s="68"/>
      <c r="AA11" s="68"/>
      <c r="AB11" s="68"/>
      <c r="AC11" s="68"/>
      <c r="AD11" s="68"/>
      <c r="AE11" s="68"/>
      <c r="AF11" s="68"/>
      <c r="AG11" s="68"/>
      <c r="AH11" s="68"/>
      <c r="AI11" s="68">
        <f t="shared" si="2"/>
        <v>0</v>
      </c>
    </row>
    <row r="12" spans="1:35" ht="14">
      <c r="A12" s="2" t="s">
        <v>0</v>
      </c>
      <c r="B12" s="95" t="s">
        <v>320</v>
      </c>
      <c r="C12" s="80">
        <v>0</v>
      </c>
      <c r="D12" s="75">
        <f t="shared" si="0"/>
        <v>0</v>
      </c>
      <c r="E12" s="75" t="s">
        <v>331</v>
      </c>
      <c r="F12" s="75">
        <f>800400-414700</f>
        <v>385700</v>
      </c>
      <c r="G12" s="68">
        <f t="shared" si="3"/>
        <v>0</v>
      </c>
      <c r="H12" s="75">
        <f t="shared" si="4"/>
        <v>385700</v>
      </c>
      <c r="I12" s="77">
        <v>385700</v>
      </c>
      <c r="J12" s="68"/>
      <c r="K12" s="68"/>
      <c r="L12" s="68"/>
      <c r="M12" s="68"/>
      <c r="N12" s="68"/>
      <c r="O12" s="68"/>
      <c r="P12" s="68"/>
      <c r="Q12" s="68"/>
      <c r="R12" s="68"/>
      <c r="S12" s="68"/>
      <c r="T12" s="68"/>
      <c r="U12" s="68"/>
      <c r="V12" s="77">
        <f t="shared" si="1"/>
        <v>0</v>
      </c>
      <c r="W12" s="68"/>
      <c r="X12" s="68"/>
      <c r="Y12" s="68"/>
      <c r="Z12" s="68"/>
      <c r="AA12" s="68"/>
      <c r="AB12" s="68"/>
      <c r="AC12" s="68"/>
      <c r="AD12" s="68"/>
      <c r="AE12" s="68"/>
      <c r="AF12" s="68"/>
      <c r="AG12" s="68"/>
      <c r="AH12" s="68"/>
      <c r="AI12" s="68">
        <f t="shared" si="2"/>
        <v>0</v>
      </c>
    </row>
    <row r="13" spans="1:35" ht="14">
      <c r="A13" s="2" t="s">
        <v>0</v>
      </c>
      <c r="B13" s="2" t="s">
        <v>321</v>
      </c>
      <c r="C13" s="80">
        <v>0</v>
      </c>
      <c r="D13" s="75">
        <f t="shared" si="0"/>
        <v>0</v>
      </c>
      <c r="E13" s="75" t="s">
        <v>331</v>
      </c>
      <c r="F13" s="75">
        <v>943973.79</v>
      </c>
      <c r="G13" s="68">
        <f t="shared" si="3"/>
        <v>136348</v>
      </c>
      <c r="H13" s="75">
        <f t="shared" si="4"/>
        <v>807625.79</v>
      </c>
      <c r="I13" s="77">
        <v>807625.79</v>
      </c>
      <c r="J13" s="68"/>
      <c r="K13" s="68"/>
      <c r="L13" s="68"/>
      <c r="M13" s="68"/>
      <c r="N13" s="68"/>
      <c r="O13" s="68"/>
      <c r="P13" s="68"/>
      <c r="Q13" s="68"/>
      <c r="R13" s="68"/>
      <c r="S13" s="68"/>
      <c r="T13" s="68"/>
      <c r="U13" s="68"/>
      <c r="V13" s="77">
        <f t="shared" si="1"/>
        <v>0</v>
      </c>
      <c r="W13" s="68"/>
      <c r="X13" s="68"/>
      <c r="Y13" s="68"/>
      <c r="Z13" s="68"/>
      <c r="AA13" s="68"/>
      <c r="AB13" s="68"/>
      <c r="AC13" s="68"/>
      <c r="AD13" s="68"/>
      <c r="AE13" s="68"/>
      <c r="AF13" s="68"/>
      <c r="AG13" s="68"/>
      <c r="AH13" s="68"/>
      <c r="AI13" s="68">
        <f t="shared" si="2"/>
        <v>0</v>
      </c>
    </row>
    <row r="14" spans="1:35" ht="14">
      <c r="A14" s="2" t="s">
        <v>0</v>
      </c>
      <c r="B14" s="95" t="s">
        <v>322</v>
      </c>
      <c r="C14" s="80">
        <v>0</v>
      </c>
      <c r="D14" s="75">
        <f t="shared" si="0"/>
        <v>0</v>
      </c>
      <c r="E14" s="75" t="s">
        <v>331</v>
      </c>
      <c r="F14" s="75">
        <f>1178000*1.16</f>
        <v>1366480</v>
      </c>
      <c r="G14" s="68">
        <f t="shared" si="3"/>
        <v>956536</v>
      </c>
      <c r="H14" s="75">
        <f t="shared" si="4"/>
        <v>409944</v>
      </c>
      <c r="I14" s="77">
        <v>409944</v>
      </c>
      <c r="J14" s="68"/>
      <c r="K14" s="68"/>
      <c r="L14" s="68"/>
      <c r="M14" s="68"/>
      <c r="N14" s="68"/>
      <c r="O14" s="68"/>
      <c r="P14" s="68"/>
      <c r="Q14" s="68"/>
      <c r="R14" s="68"/>
      <c r="S14" s="68"/>
      <c r="T14" s="68"/>
      <c r="U14" s="68"/>
      <c r="V14" s="77">
        <f t="shared" si="1"/>
        <v>0</v>
      </c>
      <c r="W14" s="68"/>
      <c r="X14" s="68"/>
      <c r="Y14" s="68"/>
      <c r="Z14" s="68"/>
      <c r="AA14" s="68"/>
      <c r="AB14" s="68"/>
      <c r="AC14" s="68"/>
      <c r="AD14" s="68"/>
      <c r="AE14" s="68"/>
      <c r="AF14" s="68"/>
      <c r="AG14" s="68"/>
      <c r="AH14" s="68"/>
      <c r="AI14" s="68">
        <f t="shared" si="2"/>
        <v>0</v>
      </c>
    </row>
    <row r="15" spans="1:35" ht="14">
      <c r="A15" s="2" t="s">
        <v>0</v>
      </c>
      <c r="B15" s="2" t="s">
        <v>323</v>
      </c>
      <c r="C15" s="80">
        <v>0</v>
      </c>
      <c r="D15" s="75">
        <f t="shared" si="0"/>
        <v>0</v>
      </c>
      <c r="E15" s="75" t="s">
        <v>331</v>
      </c>
      <c r="F15" s="75">
        <v>2757840.59</v>
      </c>
      <c r="G15" s="68">
        <f t="shared" si="3"/>
        <v>587655.25</v>
      </c>
      <c r="H15" s="75">
        <f t="shared" si="4"/>
        <v>2170185.34</v>
      </c>
      <c r="I15" s="77">
        <v>2170185.34</v>
      </c>
      <c r="J15" s="68"/>
      <c r="K15" s="68"/>
      <c r="L15" s="68"/>
      <c r="M15" s="68"/>
      <c r="N15" s="68"/>
      <c r="O15" s="68"/>
      <c r="P15" s="68"/>
      <c r="Q15" s="68"/>
      <c r="R15" s="68"/>
      <c r="S15" s="68"/>
      <c r="T15" s="68"/>
      <c r="U15" s="68"/>
      <c r="V15" s="77">
        <f t="shared" si="1"/>
        <v>0</v>
      </c>
      <c r="W15" s="68"/>
      <c r="X15" s="68"/>
      <c r="Y15" s="68"/>
      <c r="Z15" s="68"/>
      <c r="AA15" s="68"/>
      <c r="AB15" s="68"/>
      <c r="AC15" s="68"/>
      <c r="AD15" s="68"/>
      <c r="AE15" s="68"/>
      <c r="AF15" s="68"/>
      <c r="AG15" s="68"/>
      <c r="AH15" s="68"/>
      <c r="AI15" s="68">
        <f t="shared" si="2"/>
        <v>0</v>
      </c>
    </row>
    <row r="16" spans="1:35" ht="14">
      <c r="A16" s="2" t="s">
        <v>0</v>
      </c>
      <c r="B16" s="95" t="s">
        <v>324</v>
      </c>
      <c r="C16" s="80">
        <v>0</v>
      </c>
      <c r="D16" s="75">
        <f t="shared" si="0"/>
        <v>0</v>
      </c>
      <c r="E16" s="75" t="s">
        <v>331</v>
      </c>
      <c r="F16" s="75">
        <f>(28976.32*19+13081.71*19)*1.16</f>
        <v>926958.98119999992</v>
      </c>
      <c r="G16" s="68">
        <f t="shared" si="3"/>
        <v>154495.18119999988</v>
      </c>
      <c r="H16" s="75">
        <f t="shared" si="4"/>
        <v>772463.8</v>
      </c>
      <c r="I16" s="77">
        <v>772463.8</v>
      </c>
      <c r="J16" s="68"/>
      <c r="K16" s="68"/>
      <c r="L16" s="68"/>
      <c r="M16" s="68"/>
      <c r="N16" s="68"/>
      <c r="O16" s="68"/>
      <c r="P16" s="68"/>
      <c r="Q16" s="68"/>
      <c r="R16" s="68"/>
      <c r="S16" s="68"/>
      <c r="T16" s="68"/>
      <c r="U16" s="68"/>
      <c r="V16" s="77">
        <f t="shared" si="1"/>
        <v>0</v>
      </c>
      <c r="W16" s="68"/>
      <c r="X16" s="68"/>
      <c r="Y16" s="68"/>
      <c r="Z16" s="68"/>
      <c r="AA16" s="68"/>
      <c r="AB16" s="68"/>
      <c r="AC16" s="68"/>
      <c r="AD16" s="68"/>
      <c r="AE16" s="68"/>
      <c r="AF16" s="68"/>
      <c r="AG16" s="68"/>
      <c r="AH16" s="68"/>
      <c r="AI16" s="68">
        <f t="shared" si="2"/>
        <v>0</v>
      </c>
    </row>
    <row r="17" spans="1:253" ht="14">
      <c r="A17" s="2" t="s">
        <v>0</v>
      </c>
      <c r="B17" s="2" t="s">
        <v>325</v>
      </c>
      <c r="C17" s="80">
        <v>0</v>
      </c>
      <c r="D17" s="75">
        <f t="shared" si="0"/>
        <v>0</v>
      </c>
      <c r="E17" s="75" t="s">
        <v>331</v>
      </c>
      <c r="F17" s="75">
        <f>890000*1.16-142100</f>
        <v>890299.99999999988</v>
      </c>
      <c r="G17" s="68">
        <f t="shared" si="3"/>
        <v>0</v>
      </c>
      <c r="H17" s="75">
        <f t="shared" si="4"/>
        <v>890300</v>
      </c>
      <c r="I17" s="77">
        <v>890300</v>
      </c>
      <c r="J17" s="68"/>
      <c r="K17" s="68"/>
      <c r="L17" s="68"/>
      <c r="M17" s="68"/>
      <c r="N17" s="68"/>
      <c r="O17" s="68"/>
      <c r="P17" s="68"/>
      <c r="Q17" s="68"/>
      <c r="R17" s="68"/>
      <c r="S17" s="68"/>
      <c r="T17" s="68"/>
      <c r="U17" s="68"/>
      <c r="V17" s="77">
        <f t="shared" si="1"/>
        <v>0</v>
      </c>
      <c r="W17" s="68"/>
      <c r="X17" s="68"/>
      <c r="Y17" s="68"/>
      <c r="Z17" s="68"/>
      <c r="AA17" s="68"/>
      <c r="AB17" s="68"/>
      <c r="AC17" s="68"/>
      <c r="AD17" s="68"/>
      <c r="AE17" s="68"/>
      <c r="AF17" s="68"/>
      <c r="AG17" s="68"/>
      <c r="AH17" s="68"/>
      <c r="AI17" s="68">
        <f t="shared" si="2"/>
        <v>0</v>
      </c>
    </row>
    <row r="18" spans="1:253" ht="14">
      <c r="A18" s="2" t="s">
        <v>0</v>
      </c>
      <c r="B18" s="95" t="s">
        <v>326</v>
      </c>
      <c r="C18" s="80">
        <v>0</v>
      </c>
      <c r="D18" s="75">
        <f t="shared" si="0"/>
        <v>0</v>
      </c>
      <c r="E18" s="75" t="s">
        <v>331</v>
      </c>
      <c r="F18" s="75">
        <v>87000</v>
      </c>
      <c r="G18" s="68">
        <f t="shared" si="3"/>
        <v>43500</v>
      </c>
      <c r="H18" s="75">
        <f t="shared" si="4"/>
        <v>43500</v>
      </c>
      <c r="I18" s="77">
        <v>43500</v>
      </c>
      <c r="J18" s="68"/>
      <c r="K18" s="68"/>
      <c r="L18" s="68"/>
      <c r="M18" s="68"/>
      <c r="N18" s="68"/>
      <c r="O18" s="68"/>
      <c r="P18" s="68"/>
      <c r="Q18" s="68"/>
      <c r="R18" s="68"/>
      <c r="S18" s="68"/>
      <c r="T18" s="68"/>
      <c r="U18" s="68"/>
      <c r="V18" s="77">
        <f t="shared" si="1"/>
        <v>0</v>
      </c>
      <c r="W18" s="68"/>
      <c r="X18" s="68"/>
      <c r="Y18" s="68"/>
      <c r="Z18" s="68"/>
      <c r="AA18" s="68"/>
      <c r="AB18" s="68"/>
      <c r="AC18" s="68"/>
      <c r="AD18" s="68"/>
      <c r="AE18" s="68"/>
      <c r="AF18" s="68"/>
      <c r="AG18" s="68"/>
      <c r="AH18" s="68"/>
      <c r="AI18" s="68">
        <f t="shared" si="2"/>
        <v>0</v>
      </c>
    </row>
    <row r="19" spans="1:253" ht="14">
      <c r="A19" s="2" t="s">
        <v>0</v>
      </c>
      <c r="B19" s="2" t="s">
        <v>327</v>
      </c>
      <c r="C19" s="80">
        <v>0</v>
      </c>
      <c r="D19" s="75">
        <f t="shared" si="0"/>
        <v>0</v>
      </c>
      <c r="E19" s="75" t="s">
        <v>331</v>
      </c>
      <c r="F19" s="75">
        <f>1988544.05+114580.76</f>
        <v>2103124.81</v>
      </c>
      <c r="G19" s="68">
        <f t="shared" si="3"/>
        <v>1203370.6000000001</v>
      </c>
      <c r="H19" s="75">
        <f t="shared" si="4"/>
        <v>899754.21</v>
      </c>
      <c r="I19" s="77">
        <v>899754.21</v>
      </c>
      <c r="J19" s="68"/>
      <c r="K19" s="68"/>
      <c r="L19" s="68"/>
      <c r="M19" s="68"/>
      <c r="N19" s="68"/>
      <c r="O19" s="68"/>
      <c r="P19" s="68"/>
      <c r="Q19" s="68"/>
      <c r="R19" s="68"/>
      <c r="S19" s="68"/>
      <c r="T19" s="68"/>
      <c r="U19" s="68"/>
      <c r="V19" s="77">
        <f t="shared" si="1"/>
        <v>0</v>
      </c>
      <c r="W19" s="68"/>
      <c r="X19" s="68"/>
      <c r="Y19" s="68"/>
      <c r="Z19" s="68"/>
      <c r="AA19" s="68"/>
      <c r="AB19" s="68"/>
      <c r="AC19" s="68"/>
      <c r="AD19" s="68"/>
      <c r="AE19" s="68"/>
      <c r="AF19" s="68"/>
      <c r="AG19" s="68"/>
      <c r="AH19" s="68"/>
      <c r="AI19" s="68">
        <f t="shared" si="2"/>
        <v>0</v>
      </c>
    </row>
    <row r="20" spans="1:253" ht="14">
      <c r="A20" s="2" t="s">
        <v>0</v>
      </c>
      <c r="B20" s="95" t="s">
        <v>328</v>
      </c>
      <c r="C20" s="80">
        <v>0</v>
      </c>
      <c r="D20" s="75">
        <f t="shared" si="0"/>
        <v>0</v>
      </c>
      <c r="E20" s="75" t="s">
        <v>331</v>
      </c>
      <c r="F20" s="75">
        <v>87000</v>
      </c>
      <c r="G20" s="68">
        <f t="shared" si="3"/>
        <v>43500</v>
      </c>
      <c r="H20" s="75">
        <f t="shared" si="4"/>
        <v>43500</v>
      </c>
      <c r="I20" s="77">
        <v>43500</v>
      </c>
      <c r="J20" s="68"/>
      <c r="K20" s="68"/>
      <c r="L20" s="68"/>
      <c r="M20" s="68"/>
      <c r="N20" s="68"/>
      <c r="O20" s="68"/>
      <c r="P20" s="68"/>
      <c r="Q20" s="68"/>
      <c r="R20" s="68"/>
      <c r="S20" s="68"/>
      <c r="T20" s="68"/>
      <c r="U20" s="68"/>
      <c r="V20" s="77">
        <f t="shared" si="1"/>
        <v>0</v>
      </c>
      <c r="W20" s="68"/>
      <c r="X20" s="68"/>
      <c r="Y20" s="68"/>
      <c r="Z20" s="68"/>
      <c r="AA20" s="68"/>
      <c r="AB20" s="68"/>
      <c r="AC20" s="68"/>
      <c r="AD20" s="68"/>
      <c r="AE20" s="68"/>
      <c r="AF20" s="68"/>
      <c r="AG20" s="68"/>
      <c r="AH20" s="68"/>
      <c r="AI20" s="68">
        <f t="shared" si="2"/>
        <v>0</v>
      </c>
      <c r="AJ20" s="96"/>
      <c r="AK20" s="96"/>
      <c r="AL20" s="96"/>
      <c r="AM20" s="96"/>
      <c r="AN20" s="96"/>
      <c r="AO20" s="96"/>
      <c r="AP20" s="96"/>
      <c r="AQ20" s="96"/>
    </row>
    <row r="21" spans="1:253" ht="16">
      <c r="A21" s="86" t="s">
        <v>130</v>
      </c>
      <c r="B21" s="86"/>
      <c r="C21" s="86"/>
      <c r="D21" s="98">
        <f>SUM(D2:D20)</f>
        <v>2666151.929</v>
      </c>
      <c r="E21" s="98"/>
      <c r="F21" s="98">
        <f>SUM(F2:F20)</f>
        <v>15917531.1072</v>
      </c>
      <c r="G21" s="98">
        <f>SUM(G2:G20)</f>
        <v>4810119.6272</v>
      </c>
      <c r="H21" s="98">
        <f>SUM(H2:H20)</f>
        <v>11107411.48</v>
      </c>
      <c r="I21" s="98"/>
      <c r="J21" s="98">
        <f>SUM(J2:J20)</f>
        <v>85530</v>
      </c>
      <c r="K21" s="98">
        <f>SUM(K2:K20)</f>
        <v>115224.32000000001</v>
      </c>
      <c r="L21" s="98">
        <f>SUM(L2:L20)</f>
        <v>40530</v>
      </c>
      <c r="M21" s="98">
        <f>SUM(M2:M20)</f>
        <v>121591</v>
      </c>
      <c r="N21" s="98">
        <f>SUM(N2:N20)</f>
        <v>0</v>
      </c>
      <c r="O21" s="98">
        <f>SUM(O2:O20)</f>
        <v>0</v>
      </c>
      <c r="P21" s="98">
        <f>SUM(P2:P20)</f>
        <v>0</v>
      </c>
      <c r="Q21" s="98">
        <f>SUM(Q2:Q20)</f>
        <v>0</v>
      </c>
      <c r="R21" s="98">
        <f>SUM(R2:R20)</f>
        <v>0</v>
      </c>
      <c r="S21" s="98">
        <f>SUM(S2:S20)</f>
        <v>0</v>
      </c>
      <c r="T21" s="98">
        <f>SUM(T2:T20)</f>
        <v>0</v>
      </c>
      <c r="U21" s="98">
        <f>SUM(U2:U20)</f>
        <v>0</v>
      </c>
      <c r="V21" s="98">
        <f>SUM(V2:V20)</f>
        <v>362875.32</v>
      </c>
      <c r="W21" s="98">
        <f>SUM(W2:W20)</f>
        <v>0</v>
      </c>
      <c r="X21" s="98">
        <f>SUM(X2:X20)</f>
        <v>0</v>
      </c>
      <c r="Y21" s="98">
        <f>SUM(Y2:Y20)</f>
        <v>0</v>
      </c>
      <c r="Z21" s="98">
        <f>SUM(Z2:Z20)</f>
        <v>0</v>
      </c>
      <c r="AA21" s="98">
        <f>SUM(AA2:AA20)</f>
        <v>0</v>
      </c>
      <c r="AB21" s="98">
        <f>SUM(AB2:AB20)</f>
        <v>0</v>
      </c>
      <c r="AC21" s="98">
        <f>SUM(AC2:AC20)</f>
        <v>0</v>
      </c>
      <c r="AD21" s="98">
        <f>SUM(AD2:AD20)</f>
        <v>0</v>
      </c>
      <c r="AE21" s="98">
        <f>SUM(AE2:AE20)</f>
        <v>0</v>
      </c>
      <c r="AF21" s="98">
        <f>SUM(AF2:AF20)</f>
        <v>0</v>
      </c>
      <c r="AG21" s="98">
        <f>SUM(AG2:AG20)</f>
        <v>0</v>
      </c>
      <c r="AH21" s="98">
        <f>SUM(AH2:AH20)</f>
        <v>0</v>
      </c>
      <c r="AI21" s="98">
        <f>SUM(AI2:AI20)</f>
        <v>0</v>
      </c>
      <c r="AJ21" s="99"/>
      <c r="AK21" s="99"/>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row>
  </sheetData>
  <autoFilter ref="A1:AI21" xr:uid="{00000000-0009-0000-0000-000009000000}"/>
  <phoneticPr fontId="39" type="noConversion"/>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IR100"/>
  <sheetViews>
    <sheetView workbookViewId="0">
      <pane xSplit="4" ySplit="9" topLeftCell="E38" activePane="bottomRight" state="frozen"/>
      <selection pane="topRight"/>
      <selection pane="bottomLeft"/>
      <selection pane="bottomRight" activeCell="F50" sqref="F50:P50"/>
    </sheetView>
  </sheetViews>
  <sheetFormatPr baseColWidth="10" defaultColWidth="8.83203125" defaultRowHeight="15.75" customHeight="1"/>
  <cols>
    <col min="1" max="1" width="38.83203125"/>
    <col min="2" max="2" width="4.6640625"/>
    <col min="3" max="3" width="2.5"/>
    <col min="4" max="4" width="4.1640625"/>
    <col min="5" max="16" width="15"/>
    <col min="17" max="17" width="24.1640625"/>
    <col min="18" max="160" width="15.5"/>
    <col min="161" max="928" width="13.33203125"/>
    <col min="929" max="929" width="11.5"/>
  </cols>
  <sheetData>
    <row r="2" spans="1:17" ht="13" hidden="1">
      <c r="E2" s="78"/>
      <c r="F2" s="78"/>
      <c r="G2" s="78"/>
      <c r="H2" s="78"/>
      <c r="I2" s="78"/>
      <c r="J2" s="78"/>
      <c r="K2" s="78"/>
      <c r="L2" s="78"/>
      <c r="M2" s="78"/>
      <c r="N2" s="78"/>
      <c r="O2" s="78"/>
      <c r="P2" s="78"/>
      <c r="Q2" s="78"/>
    </row>
    <row r="3" spans="1:17" ht="15" hidden="1">
      <c r="A3" s="100"/>
      <c r="B3" t="s">
        <v>131</v>
      </c>
      <c r="E3" s="101"/>
      <c r="F3" s="101"/>
      <c r="G3" s="101"/>
      <c r="H3" s="101"/>
      <c r="I3" s="101"/>
      <c r="J3" s="101"/>
      <c r="K3" s="101"/>
      <c r="L3" s="101"/>
      <c r="M3" s="101"/>
      <c r="N3" s="101"/>
      <c r="O3" s="101"/>
      <c r="P3" s="101"/>
      <c r="Q3" s="101"/>
    </row>
    <row r="4" spans="1:17" ht="15" hidden="1">
      <c r="A4" s="102"/>
      <c r="B4" t="s">
        <v>132</v>
      </c>
      <c r="E4" s="101"/>
      <c r="F4" s="101"/>
      <c r="G4" s="101"/>
      <c r="H4" s="101"/>
      <c r="I4" s="101"/>
      <c r="J4" s="101"/>
      <c r="K4" s="101"/>
      <c r="L4" s="101"/>
      <c r="M4" s="101"/>
      <c r="N4" s="101"/>
      <c r="O4" s="101"/>
      <c r="P4" s="101"/>
      <c r="Q4" s="101"/>
    </row>
    <row r="5" spans="1:17" ht="15" hidden="1">
      <c r="A5" s="103"/>
      <c r="B5" t="s">
        <v>133</v>
      </c>
      <c r="E5" s="101"/>
      <c r="F5" s="101"/>
      <c r="G5" s="101"/>
      <c r="H5" s="101"/>
      <c r="I5" s="101"/>
      <c r="J5" s="101"/>
      <c r="K5" s="101"/>
      <c r="L5" s="101"/>
      <c r="M5" s="101"/>
      <c r="N5" s="101"/>
      <c r="O5" s="101"/>
      <c r="P5" s="101"/>
      <c r="Q5" s="101"/>
    </row>
    <row r="6" spans="1:17" ht="15" hidden="1">
      <c r="A6" s="104"/>
      <c r="B6" t="s">
        <v>134</v>
      </c>
      <c r="E6" s="105"/>
      <c r="F6" s="105"/>
      <c r="G6" s="105"/>
      <c r="H6" s="105"/>
      <c r="I6" s="105"/>
      <c r="J6" s="105"/>
      <c r="K6" s="105"/>
      <c r="L6" s="105"/>
      <c r="M6" s="105"/>
      <c r="N6" s="105"/>
      <c r="O6" s="105"/>
      <c r="P6" s="105"/>
      <c r="Q6" s="78"/>
    </row>
    <row r="7" spans="1:17" ht="15" hidden="1">
      <c r="A7" s="106"/>
      <c r="B7" t="s">
        <v>135</v>
      </c>
      <c r="E7" s="101"/>
      <c r="F7" s="101"/>
      <c r="G7" s="101"/>
      <c r="H7" s="101"/>
      <c r="I7" s="101"/>
      <c r="J7" s="101"/>
      <c r="K7" s="101"/>
      <c r="L7" s="101"/>
      <c r="M7" s="101"/>
      <c r="N7" s="101"/>
      <c r="O7" s="101"/>
      <c r="P7" s="101"/>
      <c r="Q7" s="101"/>
    </row>
    <row r="8" spans="1:17" ht="16">
      <c r="A8" s="107" t="s">
        <v>136</v>
      </c>
      <c r="B8" s="66"/>
      <c r="C8" s="66"/>
      <c r="D8" s="66"/>
      <c r="E8" s="101"/>
      <c r="F8" s="101"/>
      <c r="G8" s="101"/>
      <c r="H8" s="101"/>
      <c r="I8" s="101"/>
      <c r="J8" s="101"/>
      <c r="K8" s="101"/>
      <c r="L8" s="101"/>
      <c r="M8" s="101"/>
      <c r="N8" s="101"/>
      <c r="O8" s="101"/>
      <c r="P8" s="101"/>
      <c r="Q8" s="101"/>
    </row>
    <row r="9" spans="1:17" ht="15">
      <c r="A9" s="108"/>
      <c r="B9" s="108"/>
      <c r="C9" s="108"/>
      <c r="D9" s="108"/>
      <c r="E9" s="109">
        <v>44927</v>
      </c>
      <c r="F9" s="109">
        <v>44958</v>
      </c>
      <c r="G9" s="109">
        <v>44986</v>
      </c>
      <c r="H9" s="109">
        <v>45017</v>
      </c>
      <c r="I9" s="109">
        <v>45047</v>
      </c>
      <c r="J9" s="109">
        <v>45078</v>
      </c>
      <c r="K9" s="109">
        <v>45108</v>
      </c>
      <c r="L9" s="109">
        <v>45139</v>
      </c>
      <c r="M9" s="109">
        <v>45170</v>
      </c>
      <c r="N9" s="109">
        <v>45200</v>
      </c>
      <c r="O9" s="109">
        <v>45231</v>
      </c>
      <c r="P9" s="109">
        <v>45261</v>
      </c>
      <c r="Q9" s="101" t="s">
        <v>137</v>
      </c>
    </row>
    <row r="10" spans="1:17" ht="37" customHeight="1">
      <c r="A10" s="460" t="s">
        <v>138</v>
      </c>
      <c r="B10" s="460"/>
      <c r="C10" s="460"/>
      <c r="D10" s="460"/>
      <c r="E10" s="101"/>
      <c r="F10" s="101"/>
      <c r="G10" s="101"/>
      <c r="H10" s="101"/>
      <c r="I10" s="101"/>
      <c r="J10" s="101"/>
      <c r="K10" s="101"/>
      <c r="L10" s="101"/>
      <c r="M10" s="101"/>
      <c r="N10" s="101"/>
      <c r="O10" s="101"/>
      <c r="P10" s="101"/>
      <c r="Q10" s="101">
        <f>SUM(E10:P10)</f>
        <v>0</v>
      </c>
    </row>
    <row r="11" spans="1:17" ht="16.5" customHeight="1">
      <c r="A11" s="426" t="s">
        <v>139</v>
      </c>
      <c r="B11" s="426"/>
      <c r="C11" s="426"/>
      <c r="D11" s="426"/>
      <c r="E11" s="101"/>
      <c r="F11" s="101"/>
      <c r="G11" s="101"/>
      <c r="H11" s="101"/>
      <c r="I11" s="101"/>
      <c r="J11" s="101"/>
      <c r="K11" s="101"/>
      <c r="L11" s="101"/>
      <c r="M11" s="101"/>
      <c r="N11" s="101"/>
      <c r="O11" s="101"/>
      <c r="P11" s="101"/>
      <c r="Q11" s="101"/>
    </row>
    <row r="12" spans="1:17" ht="16.5" customHeight="1">
      <c r="A12" s="433" t="s">
        <v>140</v>
      </c>
      <c r="B12" s="433"/>
      <c r="C12" s="433"/>
      <c r="D12" s="433"/>
      <c r="E12" s="101"/>
      <c r="F12" s="101"/>
      <c r="G12" s="101"/>
      <c r="H12" s="101"/>
      <c r="I12" s="101"/>
      <c r="J12" s="101"/>
      <c r="K12" s="101"/>
      <c r="L12" s="101"/>
      <c r="M12" s="101"/>
      <c r="N12" s="101"/>
      <c r="O12" s="101"/>
      <c r="P12" s="101"/>
      <c r="Q12" s="101">
        <f t="shared" ref="Q12:Q18" si="0">SUM(E12:P12)</f>
        <v>0</v>
      </c>
    </row>
    <row r="13" spans="1:17" ht="16.5" customHeight="1">
      <c r="A13" s="424" t="s">
        <v>141</v>
      </c>
      <c r="B13" s="424"/>
      <c r="C13" s="424"/>
      <c r="D13" s="424"/>
      <c r="E13" s="111"/>
      <c r="F13" s="111"/>
      <c r="G13" s="111"/>
      <c r="H13" s="111"/>
      <c r="I13" s="111"/>
      <c r="J13" s="111"/>
      <c r="K13" s="111"/>
      <c r="L13" s="111"/>
      <c r="M13" s="111"/>
      <c r="N13" s="111"/>
      <c r="O13" s="111"/>
      <c r="P13" s="111"/>
      <c r="Q13" s="112">
        <f t="shared" si="0"/>
        <v>0</v>
      </c>
    </row>
    <row r="14" spans="1:17" ht="16.5" customHeight="1">
      <c r="A14" s="424" t="s">
        <v>142</v>
      </c>
      <c r="B14" s="424"/>
      <c r="C14" s="424"/>
      <c r="D14" s="424"/>
      <c r="E14" s="111"/>
      <c r="F14" s="111"/>
      <c r="G14" s="111"/>
      <c r="H14" s="111"/>
      <c r="I14" s="111"/>
      <c r="J14" s="111"/>
      <c r="K14" s="111"/>
      <c r="L14" s="111"/>
      <c r="M14" s="111"/>
      <c r="N14" s="111"/>
      <c r="O14" s="111"/>
      <c r="P14" s="111"/>
      <c r="Q14" s="112">
        <f t="shared" si="0"/>
        <v>0</v>
      </c>
    </row>
    <row r="15" spans="1:17" ht="16.5" customHeight="1">
      <c r="A15" s="424" t="s">
        <v>143</v>
      </c>
      <c r="B15" s="424"/>
      <c r="C15" s="424"/>
      <c r="D15" s="424"/>
      <c r="E15" s="111"/>
      <c r="F15" s="111"/>
      <c r="G15" s="111"/>
      <c r="H15" s="111"/>
      <c r="I15" s="111"/>
      <c r="J15" s="111"/>
      <c r="K15" s="111"/>
      <c r="L15" s="111"/>
      <c r="M15" s="111"/>
      <c r="N15" s="111"/>
      <c r="O15" s="111"/>
      <c r="P15" s="111"/>
      <c r="Q15" s="112">
        <f t="shared" si="0"/>
        <v>0</v>
      </c>
    </row>
    <row r="16" spans="1:17" ht="16.5" customHeight="1">
      <c r="A16" s="424" t="s">
        <v>144</v>
      </c>
      <c r="B16" s="424"/>
      <c r="C16" s="424"/>
      <c r="D16" s="424"/>
      <c r="E16" s="111"/>
      <c r="F16" s="111"/>
      <c r="G16" s="111"/>
      <c r="H16" s="111"/>
      <c r="I16" s="111"/>
      <c r="J16" s="111"/>
      <c r="K16" s="111"/>
      <c r="L16" s="111"/>
      <c r="M16" s="111"/>
      <c r="N16" s="111"/>
      <c r="O16" s="111"/>
      <c r="P16" s="111"/>
      <c r="Q16" s="112">
        <f t="shared" si="0"/>
        <v>0</v>
      </c>
    </row>
    <row r="17" spans="1:17" ht="16.5" customHeight="1">
      <c r="A17" s="424" t="s">
        <v>145</v>
      </c>
      <c r="B17" s="424"/>
      <c r="C17" s="424"/>
      <c r="D17" s="424"/>
      <c r="E17" s="111"/>
      <c r="F17" s="111"/>
      <c r="G17" s="111"/>
      <c r="H17" s="111"/>
      <c r="I17" s="111"/>
      <c r="J17" s="111"/>
      <c r="K17" s="111"/>
      <c r="L17" s="111"/>
      <c r="M17" s="111"/>
      <c r="N17" s="111"/>
      <c r="O17" s="111"/>
      <c r="P17" s="111"/>
      <c r="Q17" s="112">
        <f t="shared" si="0"/>
        <v>0</v>
      </c>
    </row>
    <row r="18" spans="1:17" s="113" customFormat="1" ht="16.5" customHeight="1">
      <c r="A18" s="432" t="s">
        <v>146</v>
      </c>
      <c r="B18" s="432"/>
      <c r="C18" s="432"/>
      <c r="D18" s="432"/>
      <c r="E18" s="114">
        <f>SUM(E13:E17)</f>
        <v>0</v>
      </c>
      <c r="F18" s="114">
        <f>SUM(F13:F17)</f>
        <v>0</v>
      </c>
      <c r="G18" s="114">
        <f>SUM(G13:G17)</f>
        <v>0</v>
      </c>
      <c r="H18" s="114">
        <f>SUM(H13:H17)</f>
        <v>0</v>
      </c>
      <c r="I18" s="114">
        <f>SUM(I13:I17)</f>
        <v>0</v>
      </c>
      <c r="J18" s="114">
        <f>SUM(J13:J17)</f>
        <v>0</v>
      </c>
      <c r="K18" s="114">
        <f>SUM(K13:K17)</f>
        <v>0</v>
      </c>
      <c r="L18" s="114">
        <f>SUM(L13:L17)</f>
        <v>0</v>
      </c>
      <c r="M18" s="114">
        <f>SUM(M13:M17)</f>
        <v>0</v>
      </c>
      <c r="N18" s="114">
        <f>SUM(N13:N17)</f>
        <v>0</v>
      </c>
      <c r="O18" s="114">
        <f>SUM(O13:O17)</f>
        <v>0</v>
      </c>
      <c r="P18" s="114">
        <f>SUM(P13:P17)</f>
        <v>0</v>
      </c>
      <c r="Q18" s="114">
        <f t="shared" si="0"/>
        <v>0</v>
      </c>
    </row>
    <row r="19" spans="1:17" ht="16.5" customHeight="1">
      <c r="A19" s="439"/>
      <c r="B19" s="439"/>
      <c r="C19" s="439"/>
      <c r="D19" s="439"/>
      <c r="E19" s="115"/>
      <c r="F19" s="115"/>
      <c r="G19" s="115"/>
      <c r="H19" s="115"/>
      <c r="I19" s="115"/>
      <c r="J19" s="115"/>
      <c r="K19" s="115"/>
      <c r="L19" s="115"/>
      <c r="M19" s="115"/>
      <c r="N19" s="115"/>
      <c r="O19" s="115"/>
      <c r="P19" s="115"/>
      <c r="Q19" s="115"/>
    </row>
    <row r="20" spans="1:17" s="66" customFormat="1" ht="16.5" customHeight="1">
      <c r="A20" s="431" t="s">
        <v>147</v>
      </c>
      <c r="B20" s="431"/>
      <c r="C20" s="431"/>
      <c r="D20" s="431"/>
      <c r="E20" s="101"/>
      <c r="F20" s="101"/>
      <c r="G20" s="101"/>
      <c r="H20" s="101"/>
      <c r="I20" s="101"/>
      <c r="J20" s="101"/>
      <c r="K20" s="101"/>
      <c r="L20" s="101"/>
      <c r="M20" s="101"/>
      <c r="N20" s="101"/>
      <c r="O20" s="101"/>
      <c r="P20" s="101"/>
      <c r="Q20" s="101"/>
    </row>
    <row r="21" spans="1:17" s="66" customFormat="1" ht="16.5" customHeight="1">
      <c r="A21" s="437" t="s">
        <v>309</v>
      </c>
      <c r="B21" s="437"/>
      <c r="C21" s="437"/>
      <c r="D21" s="437"/>
      <c r="E21" s="101"/>
      <c r="F21" s="101"/>
      <c r="G21" s="101"/>
      <c r="H21" s="101"/>
      <c r="I21" s="101"/>
      <c r="J21" s="101"/>
      <c r="K21" s="101"/>
      <c r="L21" s="101"/>
      <c r="M21" s="101"/>
      <c r="N21" s="101"/>
      <c r="O21" s="101"/>
      <c r="P21" s="101"/>
      <c r="Q21" s="101"/>
    </row>
    <row r="22" spans="1:17" ht="16.5" customHeight="1">
      <c r="A22" s="424" t="s">
        <v>308</v>
      </c>
      <c r="B22" s="424"/>
      <c r="C22" s="424"/>
      <c r="D22" s="424"/>
      <c r="E22" s="110">
        <f>'Cal pres Consultoria'!CC16</f>
        <v>120000</v>
      </c>
      <c r="F22" s="110">
        <f>'Cal pres Consultoria'!CD16</f>
        <v>120000</v>
      </c>
      <c r="G22" s="110">
        <f>'Cal pres Consultoria'!CE16</f>
        <v>120000</v>
      </c>
      <c r="H22" s="110">
        <f>'Cal pres Consultoria'!CF16</f>
        <v>120000</v>
      </c>
      <c r="I22" s="110">
        <f>'Cal pres Consultoria'!CG16</f>
        <v>120000</v>
      </c>
      <c r="J22" s="110">
        <f>'Cal pres Consultoria'!CH16</f>
        <v>120000</v>
      </c>
      <c r="K22" s="110">
        <f>'Cal pres Consultoria'!CI16</f>
        <v>120000</v>
      </c>
      <c r="L22" s="110">
        <f>'Cal pres Consultoria'!CJ16</f>
        <v>120000</v>
      </c>
      <c r="M22" s="110">
        <f>'Cal pres Consultoria'!CK16</f>
        <v>120000</v>
      </c>
      <c r="N22" s="110">
        <f>'Cal pres Consultoria'!CL16</f>
        <v>120000</v>
      </c>
      <c r="O22" s="110">
        <f>'Cal pres Consultoria'!CM16</f>
        <v>120000</v>
      </c>
      <c r="P22" s="110">
        <f>'Cal pres Consultoria'!CN16</f>
        <v>120000</v>
      </c>
      <c r="Q22" s="112">
        <f t="shared" ref="Q22:Q23" si="1">SUM(E22:P22)</f>
        <v>1440000</v>
      </c>
    </row>
    <row r="23" spans="1:17" ht="17" customHeight="1">
      <c r="A23" s="429" t="s">
        <v>148</v>
      </c>
      <c r="B23" s="429"/>
      <c r="C23" s="429"/>
      <c r="D23" s="429"/>
      <c r="E23" s="116">
        <f>SUM(E22:E22)</f>
        <v>120000</v>
      </c>
      <c r="F23" s="116">
        <f>SUM(F22:F22)</f>
        <v>120000</v>
      </c>
      <c r="G23" s="116">
        <f>SUM(G22:G22)</f>
        <v>120000</v>
      </c>
      <c r="H23" s="116">
        <f>SUM(H22:H22)</f>
        <v>120000</v>
      </c>
      <c r="I23" s="116">
        <f>SUM(I22:I22)</f>
        <v>120000</v>
      </c>
      <c r="J23" s="116">
        <f>SUM(J22:J22)</f>
        <v>120000</v>
      </c>
      <c r="K23" s="116">
        <f>SUM(K22:K22)</f>
        <v>120000</v>
      </c>
      <c r="L23" s="116">
        <f>SUM(L22:L22)</f>
        <v>120000</v>
      </c>
      <c r="M23" s="116">
        <f>SUM(M22:M22)</f>
        <v>120000</v>
      </c>
      <c r="N23" s="116">
        <f>SUM(N22:N22)</f>
        <v>120000</v>
      </c>
      <c r="O23" s="116">
        <f>SUM(O22:O22)</f>
        <v>120000</v>
      </c>
      <c r="P23" s="116">
        <f>SUM(P22:P22)</f>
        <v>120000</v>
      </c>
      <c r="Q23" s="114">
        <f t="shared" si="1"/>
        <v>1440000</v>
      </c>
    </row>
    <row r="24" spans="1:17" s="66" customFormat="1" ht="17" customHeight="1">
      <c r="A24" s="437" t="s">
        <v>149</v>
      </c>
      <c r="B24" s="437"/>
      <c r="C24" s="437"/>
      <c r="D24" s="437"/>
      <c r="E24" s="110">
        <f>'Cal pres Consultoria'!CC17</f>
        <v>0</v>
      </c>
      <c r="F24" s="110">
        <f>'Cal pres Consultoria'!CD17</f>
        <v>0</v>
      </c>
      <c r="G24" s="110">
        <f>'Cal pres Consultoria'!CE17</f>
        <v>0</v>
      </c>
      <c r="H24" s="110">
        <f>'Cal pres Consultoria'!CF17</f>
        <v>0</v>
      </c>
      <c r="I24" s="110">
        <f>'Cal pres Consultoria'!CG17</f>
        <v>0</v>
      </c>
      <c r="J24" s="110">
        <f>'Cal pres Consultoria'!CH17</f>
        <v>0</v>
      </c>
      <c r="K24" s="110">
        <f>'Cal pres Consultoria'!CI17</f>
        <v>0</v>
      </c>
      <c r="L24" s="110">
        <f>'Cal pres Consultoria'!CJ17</f>
        <v>0</v>
      </c>
      <c r="M24" s="110">
        <f>'Cal pres Consultoria'!CK17</f>
        <v>0</v>
      </c>
      <c r="N24" s="110">
        <f>'Cal pres Consultoria'!CL17</f>
        <v>0</v>
      </c>
      <c r="O24" s="110">
        <f>'Cal pres Consultoria'!CM17</f>
        <v>0</v>
      </c>
      <c r="P24" s="110">
        <f>'Cal pres Consultoria'!CN17</f>
        <v>0</v>
      </c>
      <c r="Q24" s="117"/>
    </row>
    <row r="25" spans="1:17" ht="17" customHeight="1">
      <c r="A25" s="424" t="s">
        <v>150</v>
      </c>
      <c r="B25" s="424"/>
      <c r="C25" s="424"/>
      <c r="D25" s="424"/>
      <c r="E25" s="110">
        <f>'Cal pres Consultoria'!CC18</f>
        <v>0</v>
      </c>
      <c r="F25" s="110">
        <f>'Cal pres Consultoria'!CD18</f>
        <v>0</v>
      </c>
      <c r="G25" s="110">
        <f>'Cal pres Consultoria'!CE18</f>
        <v>0</v>
      </c>
      <c r="H25" s="110">
        <f>'Cal pres Consultoria'!CF18</f>
        <v>0</v>
      </c>
      <c r="I25" s="110">
        <f>'Cal pres Consultoria'!CG18</f>
        <v>0</v>
      </c>
      <c r="J25" s="110">
        <f>'Cal pres Consultoria'!CH18</f>
        <v>0</v>
      </c>
      <c r="K25" s="110">
        <f>'Cal pres Consultoria'!CI18</f>
        <v>0</v>
      </c>
      <c r="L25" s="110">
        <f>'Cal pres Consultoria'!CJ18</f>
        <v>0</v>
      </c>
      <c r="M25" s="110">
        <f>'Cal pres Consultoria'!CK18</f>
        <v>0</v>
      </c>
      <c r="N25" s="110">
        <f>'Cal pres Consultoria'!CL18</f>
        <v>0</v>
      </c>
      <c r="O25" s="110">
        <f>'Cal pres Consultoria'!CM18</f>
        <v>0</v>
      </c>
      <c r="P25" s="110">
        <f>'Cal pres Consultoria'!CN18</f>
        <v>0</v>
      </c>
      <c r="Q25" s="112">
        <f t="shared" ref="Q25:Q28" si="2">SUM(E25:P25)</f>
        <v>0</v>
      </c>
    </row>
    <row r="26" spans="1:17" ht="17.25" customHeight="1">
      <c r="A26" s="424" t="s">
        <v>151</v>
      </c>
      <c r="B26" s="424"/>
      <c r="C26" s="424"/>
      <c r="D26" s="424"/>
      <c r="E26" s="110">
        <f>'Cal pres Consultoria'!CC19</f>
        <v>0</v>
      </c>
      <c r="F26" s="110">
        <f>'Cal pres Consultoria'!CD19</f>
        <v>0</v>
      </c>
      <c r="G26" s="110">
        <f>'Cal pres Consultoria'!CE19</f>
        <v>0</v>
      </c>
      <c r="H26" s="110">
        <f>'Cal pres Consultoria'!CF19</f>
        <v>0</v>
      </c>
      <c r="I26" s="110">
        <f>'Cal pres Consultoria'!CG19</f>
        <v>0</v>
      </c>
      <c r="J26" s="110">
        <f>'Cal pres Consultoria'!CH19</f>
        <v>0</v>
      </c>
      <c r="K26" s="110">
        <f>'Cal pres Consultoria'!CI19</f>
        <v>0</v>
      </c>
      <c r="L26" s="110">
        <f>'Cal pres Consultoria'!CJ19</f>
        <v>0</v>
      </c>
      <c r="M26" s="110">
        <f>'Cal pres Consultoria'!CK19</f>
        <v>0</v>
      </c>
      <c r="N26" s="110">
        <f>'Cal pres Consultoria'!CL19</f>
        <v>0</v>
      </c>
      <c r="O26" s="110">
        <f>'Cal pres Consultoria'!CM19</f>
        <v>0</v>
      </c>
      <c r="P26" s="110">
        <f>'Cal pres Consultoria'!CN19</f>
        <v>0</v>
      </c>
      <c r="Q26" s="112">
        <f t="shared" si="2"/>
        <v>0</v>
      </c>
    </row>
    <row r="27" spans="1:17" ht="17.25" customHeight="1">
      <c r="A27" s="424" t="s">
        <v>152</v>
      </c>
      <c r="B27" s="424"/>
      <c r="C27" s="424"/>
      <c r="D27" s="424"/>
      <c r="E27" s="110">
        <f>'Cal pres plataformas'!CC37+'Cal pres plataformas'!CC34+'Cal pres plataformas'!CC43</f>
        <v>8000</v>
      </c>
      <c r="F27" s="110">
        <f>'Cal pres plataformas'!CD37+'Cal pres plataformas'!CD34+'Cal pres plataformas'!CD43</f>
        <v>8000</v>
      </c>
      <c r="G27" s="110">
        <f>'Cal pres plataformas'!CE37+'Cal pres plataformas'!CE34+'Cal pres plataformas'!CE43</f>
        <v>8000</v>
      </c>
      <c r="H27" s="110">
        <f>'Cal pres plataformas'!CF37+'Cal pres plataformas'!CF34+'Cal pres plataformas'!CF43</f>
        <v>8000</v>
      </c>
      <c r="I27" s="110">
        <f>'Cal pres plataformas'!CG37+'Cal pres plataformas'!CG34+'Cal pres plataformas'!CG43</f>
        <v>8000</v>
      </c>
      <c r="J27" s="110">
        <f>'Cal pres plataformas'!CH37+'Cal pres plataformas'!CH34+'Cal pres plataformas'!CH43</f>
        <v>8000</v>
      </c>
      <c r="K27" s="110">
        <f>'Cal pres plataformas'!CI37+'Cal pres plataformas'!CI34+'Cal pres plataformas'!CI43</f>
        <v>8000</v>
      </c>
      <c r="L27" s="110">
        <f>'Cal pres plataformas'!CJ37+'Cal pres plataformas'!CJ34+'Cal pres plataformas'!CJ43</f>
        <v>8000</v>
      </c>
      <c r="M27" s="110">
        <f>'Cal pres plataformas'!CK37+'Cal pres plataformas'!CK34+'Cal pres plataformas'!CK43</f>
        <v>8000</v>
      </c>
      <c r="N27" s="110">
        <f>'Cal pres plataformas'!CL37+'Cal pres plataformas'!CL34+'Cal pres plataformas'!CL43</f>
        <v>8000</v>
      </c>
      <c r="O27" s="110">
        <f>'Cal pres plataformas'!CM37+'Cal pres plataformas'!CM34+'Cal pres plataformas'!CM43</f>
        <v>8000</v>
      </c>
      <c r="P27" s="110">
        <f>'Cal pres plataformas'!CN37+'Cal pres plataformas'!CN34+'Cal pres plataformas'!CN43</f>
        <v>8000</v>
      </c>
      <c r="Q27" s="112">
        <f t="shared" si="2"/>
        <v>96000</v>
      </c>
    </row>
    <row r="28" spans="1:17" ht="16.5" customHeight="1">
      <c r="A28" s="429" t="s">
        <v>153</v>
      </c>
      <c r="B28" s="429"/>
      <c r="C28" s="429"/>
      <c r="D28" s="429"/>
      <c r="E28" s="116">
        <f>SUM(E25:E27)</f>
        <v>8000</v>
      </c>
      <c r="F28" s="116">
        <f>SUM(F25:F27)</f>
        <v>8000</v>
      </c>
      <c r="G28" s="116">
        <f>SUM(G25:G27)</f>
        <v>8000</v>
      </c>
      <c r="H28" s="116">
        <f>SUM(H25:H27)</f>
        <v>8000</v>
      </c>
      <c r="I28" s="116">
        <f>SUM(I25:I27)</f>
        <v>8000</v>
      </c>
      <c r="J28" s="116">
        <f>SUM(J25:J27)</f>
        <v>8000</v>
      </c>
      <c r="K28" s="116">
        <f>SUM(K25:K27)</f>
        <v>8000</v>
      </c>
      <c r="L28" s="116">
        <f>SUM(L25:L27)</f>
        <v>8000</v>
      </c>
      <c r="M28" s="116">
        <f>SUM(M25:M27)</f>
        <v>8000</v>
      </c>
      <c r="N28" s="116">
        <f>SUM(N25:N27)</f>
        <v>8000</v>
      </c>
      <c r="O28" s="116">
        <f>SUM(O25:O27)</f>
        <v>8000</v>
      </c>
      <c r="P28" s="116">
        <f>SUM(P25:P27)</f>
        <v>8000</v>
      </c>
      <c r="Q28" s="114">
        <f t="shared" si="2"/>
        <v>96000</v>
      </c>
    </row>
    <row r="29" spans="1:17" ht="17.25" customHeight="1">
      <c r="A29" s="424" t="s">
        <v>154</v>
      </c>
      <c r="B29" s="424"/>
      <c r="C29" s="424"/>
      <c r="D29" s="424"/>
      <c r="E29" s="110">
        <f>'Cal pres Consultoria'!CC23</f>
        <v>0</v>
      </c>
      <c r="F29" s="110">
        <f>'Cal pres Consultoria'!CD23</f>
        <v>0</v>
      </c>
      <c r="G29" s="110">
        <f>'Cal pres Consultoria'!CE23</f>
        <v>0</v>
      </c>
      <c r="H29" s="110">
        <f>'Cal pres Consultoria'!CF23</f>
        <v>0</v>
      </c>
      <c r="I29" s="110">
        <f>'Cal pres Consultoria'!CG23</f>
        <v>0</v>
      </c>
      <c r="J29" s="110">
        <f>'Cal pres Consultoria'!CH23</f>
        <v>0</v>
      </c>
      <c r="K29" s="110">
        <f>'Cal pres Consultoria'!CI23</f>
        <v>0</v>
      </c>
      <c r="L29" s="110">
        <f>'Cal pres Consultoria'!CJ23</f>
        <v>0</v>
      </c>
      <c r="M29" s="110">
        <f>'Cal pres Consultoria'!CK23</f>
        <v>0</v>
      </c>
      <c r="N29" s="110">
        <f>'Cal pres Consultoria'!CL23</f>
        <v>0</v>
      </c>
      <c r="O29" s="110">
        <f>'Cal pres Consultoria'!CM23</f>
        <v>0</v>
      </c>
      <c r="P29" s="110">
        <f>'Cal pres Consultoria'!CN23</f>
        <v>0</v>
      </c>
      <c r="Q29" s="112">
        <f>SUM(G29:P29)</f>
        <v>0</v>
      </c>
    </row>
    <row r="30" spans="1:17" ht="16.5" customHeight="1">
      <c r="A30" s="424" t="s">
        <v>155</v>
      </c>
      <c r="B30" s="424"/>
      <c r="C30" s="424"/>
      <c r="D30" s="424"/>
      <c r="E30" s="110">
        <f>'Cal pres Consultoria'!CC24</f>
        <v>0</v>
      </c>
      <c r="F30" s="110">
        <f>'Cal pres Consultoria'!CD24</f>
        <v>0</v>
      </c>
      <c r="G30" s="110">
        <f>'Cal pres Consultoria'!CE24</f>
        <v>0</v>
      </c>
      <c r="H30" s="110">
        <f>'Cal pres Consultoria'!CF24</f>
        <v>0</v>
      </c>
      <c r="I30" s="110">
        <f>'Cal pres Consultoria'!CG24</f>
        <v>0</v>
      </c>
      <c r="J30" s="110">
        <f>'Cal pres Consultoria'!CH24</f>
        <v>0</v>
      </c>
      <c r="K30" s="110">
        <f>'Cal pres Consultoria'!CI24</f>
        <v>0</v>
      </c>
      <c r="L30" s="110">
        <f>'Cal pres Consultoria'!CJ24</f>
        <v>0</v>
      </c>
      <c r="M30" s="110">
        <f>'Cal pres Consultoria'!CK24</f>
        <v>0</v>
      </c>
      <c r="N30" s="110">
        <f>'Cal pres Consultoria'!CL24</f>
        <v>0</v>
      </c>
      <c r="O30" s="110">
        <f>'Cal pres Consultoria'!CM24</f>
        <v>0</v>
      </c>
      <c r="P30" s="110">
        <f>'Cal pres Consultoria'!CN24</f>
        <v>0</v>
      </c>
      <c r="Q30" s="112">
        <f>SUM(G30:P30)</f>
        <v>0</v>
      </c>
    </row>
    <row r="31" spans="1:17" ht="16.5" customHeight="1">
      <c r="A31" s="429" t="s">
        <v>156</v>
      </c>
      <c r="B31" s="429"/>
      <c r="C31" s="429"/>
      <c r="D31" s="429"/>
      <c r="E31" s="116">
        <f>SUM(E29:E30)</f>
        <v>0</v>
      </c>
      <c r="F31" s="116">
        <f>SUM(F29:F30)</f>
        <v>0</v>
      </c>
      <c r="G31" s="116">
        <f>SUM(G29:G30)</f>
        <v>0</v>
      </c>
      <c r="H31" s="116">
        <f>SUM(H29:H30)</f>
        <v>0</v>
      </c>
      <c r="I31" s="116">
        <f>SUM(I29:I30)</f>
        <v>0</v>
      </c>
      <c r="J31" s="116">
        <f>SUM(J29:J30)</f>
        <v>0</v>
      </c>
      <c r="K31" s="116">
        <f>SUM(K29:K30)</f>
        <v>0</v>
      </c>
      <c r="L31" s="116">
        <f>SUM(L29:L30)</f>
        <v>0</v>
      </c>
      <c r="M31" s="116">
        <f>SUM(M29:M30)</f>
        <v>0</v>
      </c>
      <c r="N31" s="116">
        <f>SUM(N29:N30)</f>
        <v>0</v>
      </c>
      <c r="O31" s="116">
        <f>SUM(O29:O30)</f>
        <v>0</v>
      </c>
      <c r="P31" s="116">
        <f>SUM(P29:P30)</f>
        <v>0</v>
      </c>
      <c r="Q31" s="114">
        <f t="shared" ref="Q31:Q35" si="3">SUM(E31:P31)</f>
        <v>0</v>
      </c>
    </row>
    <row r="32" spans="1:17" ht="16.5" customHeight="1">
      <c r="A32" s="424" t="s">
        <v>239</v>
      </c>
      <c r="B32" s="424"/>
      <c r="C32" s="424"/>
      <c r="D32" s="424"/>
      <c r="E32" s="110">
        <f>'Cal pres Consultoria'!CC31</f>
        <v>7200</v>
      </c>
      <c r="F32" s="110">
        <f>'Cal pres Consultoria'!CD31</f>
        <v>7200</v>
      </c>
      <c r="G32" s="110">
        <f>'Cal pres Consultoria'!CE31</f>
        <v>7200</v>
      </c>
      <c r="H32" s="110">
        <f>'Cal pres Consultoria'!CF31</f>
        <v>7200</v>
      </c>
      <c r="I32" s="110">
        <f>'Cal pres Consultoria'!CG31</f>
        <v>7200</v>
      </c>
      <c r="J32" s="110">
        <f>'Cal pres Consultoria'!CH31</f>
        <v>7200</v>
      </c>
      <c r="K32" s="110">
        <f>'Cal pres Consultoria'!CI31</f>
        <v>7200</v>
      </c>
      <c r="L32" s="110">
        <f>'Cal pres Consultoria'!CJ31</f>
        <v>7200</v>
      </c>
      <c r="M32" s="110">
        <f>'Cal pres Consultoria'!CK31</f>
        <v>7200</v>
      </c>
      <c r="N32" s="110">
        <f>'Cal pres Consultoria'!CL31</f>
        <v>7200</v>
      </c>
      <c r="O32" s="110">
        <f>'Cal pres Consultoria'!CM31</f>
        <v>7200</v>
      </c>
      <c r="P32" s="110">
        <f>'Cal pres Consultoria'!CN31</f>
        <v>7200</v>
      </c>
      <c r="Q32" s="112">
        <f t="shared" si="3"/>
        <v>86400</v>
      </c>
    </row>
    <row r="33" spans="1:928" ht="16.5" customHeight="1">
      <c r="A33" s="424" t="s">
        <v>157</v>
      </c>
      <c r="B33" s="424"/>
      <c r="C33" s="424"/>
      <c r="D33" s="424"/>
      <c r="E33" s="110"/>
      <c r="F33" s="110"/>
      <c r="G33" s="110"/>
      <c r="H33" s="110"/>
      <c r="I33" s="110"/>
      <c r="J33" s="110"/>
      <c r="K33" s="110"/>
      <c r="L33" s="110"/>
      <c r="M33" s="110"/>
      <c r="N33" s="110"/>
      <c r="O33" s="110"/>
      <c r="P33" s="110"/>
      <c r="Q33" s="112">
        <f t="shared" si="3"/>
        <v>0</v>
      </c>
    </row>
    <row r="34" spans="1:928" ht="16.5" customHeight="1">
      <c r="A34" s="429" t="s">
        <v>339</v>
      </c>
      <c r="B34" s="429"/>
      <c r="C34" s="429"/>
      <c r="D34" s="429"/>
      <c r="E34" s="116">
        <f>SUM(E32:E33)</f>
        <v>7200</v>
      </c>
      <c r="F34" s="116">
        <f>SUM(F32:F33)</f>
        <v>7200</v>
      </c>
      <c r="G34" s="116">
        <f>SUM(G32:G33)</f>
        <v>7200</v>
      </c>
      <c r="H34" s="116">
        <f>SUM(H32:H33)</f>
        <v>7200</v>
      </c>
      <c r="I34" s="116">
        <f>SUM(I32:I33)</f>
        <v>7200</v>
      </c>
      <c r="J34" s="116">
        <f>SUM(J32:J33)</f>
        <v>7200</v>
      </c>
      <c r="K34" s="116">
        <f>SUM(K32:K33)</f>
        <v>7200</v>
      </c>
      <c r="L34" s="116">
        <f>SUM(L32:L33)</f>
        <v>7200</v>
      </c>
      <c r="M34" s="116">
        <f>SUM(M32:M33)</f>
        <v>7200</v>
      </c>
      <c r="N34" s="116">
        <f>SUM(N32:N33)</f>
        <v>7200</v>
      </c>
      <c r="O34" s="116">
        <f>SUM(O32:O33)</f>
        <v>7200</v>
      </c>
      <c r="P34" s="116">
        <f>SUM(P32:P33)</f>
        <v>7200</v>
      </c>
      <c r="Q34" s="114">
        <f t="shared" si="3"/>
        <v>86400</v>
      </c>
    </row>
    <row r="35" spans="1:928" s="113" customFormat="1" ht="16.5" customHeight="1">
      <c r="A35" s="440" t="s">
        <v>158</v>
      </c>
      <c r="B35" s="440"/>
      <c r="C35" s="440"/>
      <c r="D35" s="440"/>
      <c r="E35" s="118">
        <f>E23+E28+E31+E34</f>
        <v>135200</v>
      </c>
      <c r="F35" s="118">
        <f>F23+F28+F31+F34</f>
        <v>135200</v>
      </c>
      <c r="G35" s="118">
        <f>G23+G28+G31+G34</f>
        <v>135200</v>
      </c>
      <c r="H35" s="118">
        <f>H23+H28+H31+H34</f>
        <v>135200</v>
      </c>
      <c r="I35" s="118">
        <f>I23+I28+I31+I34</f>
        <v>135200</v>
      </c>
      <c r="J35" s="118">
        <f>J23+J28+J31+J34</f>
        <v>135200</v>
      </c>
      <c r="K35" s="118">
        <f>K23+K28+K31+K34</f>
        <v>135200</v>
      </c>
      <c r="L35" s="118">
        <f>L23+L28+L31+L34</f>
        <v>135200</v>
      </c>
      <c r="M35" s="118">
        <f>M23+M28+M31+M34</f>
        <v>135200</v>
      </c>
      <c r="N35" s="118">
        <f>N23+N28+N31+N34</f>
        <v>135200</v>
      </c>
      <c r="O35" s="118">
        <f>O23+O28+O31+O34</f>
        <v>135200</v>
      </c>
      <c r="P35" s="118">
        <f>P23+P28+P31+P34</f>
        <v>135200</v>
      </c>
      <c r="Q35" s="119">
        <f t="shared" si="3"/>
        <v>1622400</v>
      </c>
    </row>
    <row r="36" spans="1:928" ht="16.5" customHeight="1">
      <c r="A36" s="437"/>
      <c r="B36" s="437"/>
      <c r="C36" s="437"/>
      <c r="D36" s="437"/>
      <c r="E36" s="101"/>
      <c r="F36" s="101"/>
      <c r="G36" s="101"/>
      <c r="H36" s="101"/>
      <c r="I36" s="101"/>
      <c r="J36" s="101"/>
      <c r="K36" s="101"/>
      <c r="L36" s="101"/>
      <c r="M36" s="101"/>
      <c r="N36" s="101"/>
      <c r="O36" s="101"/>
      <c r="P36" s="101"/>
      <c r="Q36" s="117"/>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66"/>
      <c r="AU36" s="66"/>
      <c r="AV36" s="66"/>
      <c r="AW36" s="66"/>
      <c r="AX36" s="66"/>
      <c r="AY36" s="66"/>
      <c r="AZ36" s="66"/>
      <c r="BA36" s="66"/>
      <c r="BB36" s="66"/>
      <c r="BC36" s="66"/>
      <c r="BD36" s="66"/>
      <c r="BE36" s="66"/>
      <c r="BF36" s="66"/>
      <c r="BG36" s="66"/>
      <c r="BH36" s="66"/>
      <c r="BI36" s="66"/>
      <c r="BJ36" s="66"/>
      <c r="BK36" s="66"/>
      <c r="BL36" s="66"/>
      <c r="BM36" s="66"/>
      <c r="BN36" s="66"/>
      <c r="BO36" s="66"/>
      <c r="BP36" s="66"/>
      <c r="BQ36" s="66"/>
      <c r="BR36" s="66"/>
      <c r="BS36" s="66"/>
      <c r="BT36" s="66"/>
      <c r="BU36" s="66"/>
      <c r="BV36" s="66"/>
      <c r="BW36" s="66"/>
      <c r="BX36" s="66"/>
      <c r="BY36" s="66"/>
      <c r="BZ36" s="66"/>
      <c r="CA36" s="66"/>
      <c r="CB36" s="66"/>
      <c r="CC36" s="66"/>
      <c r="CD36" s="66"/>
      <c r="CE36" s="66"/>
      <c r="CF36" s="66"/>
      <c r="CG36" s="66"/>
      <c r="CH36" s="66"/>
      <c r="CI36" s="66"/>
      <c r="CJ36" s="66"/>
      <c r="CK36" s="66"/>
      <c r="CL36" s="66"/>
      <c r="CM36" s="66"/>
      <c r="CN36" s="66"/>
      <c r="CO36" s="66"/>
      <c r="CP36" s="66"/>
      <c r="CQ36" s="66"/>
      <c r="CR36" s="66"/>
      <c r="CS36" s="66"/>
      <c r="CT36" s="66"/>
      <c r="CU36" s="66"/>
      <c r="CV36" s="66"/>
      <c r="CW36" s="66"/>
      <c r="CX36" s="66"/>
      <c r="CY36" s="66"/>
      <c r="CZ36" s="66"/>
      <c r="DA36" s="66"/>
      <c r="DB36" s="66"/>
      <c r="DC36" s="66"/>
      <c r="DD36" s="66"/>
      <c r="DE36" s="66"/>
      <c r="DF36" s="66"/>
      <c r="DG36" s="66"/>
      <c r="DH36" s="66"/>
      <c r="DI36" s="66"/>
      <c r="DJ36" s="66"/>
      <c r="DK36" s="66"/>
      <c r="DL36" s="66"/>
      <c r="DM36" s="66"/>
      <c r="DN36" s="66"/>
      <c r="DO36" s="66"/>
      <c r="DP36" s="66"/>
      <c r="DQ36" s="66"/>
      <c r="DR36" s="66"/>
      <c r="DS36" s="66"/>
      <c r="DT36" s="66"/>
      <c r="DU36" s="66"/>
      <c r="DV36" s="66"/>
      <c r="DW36" s="66"/>
      <c r="DX36" s="66"/>
      <c r="DY36" s="66"/>
      <c r="DZ36" s="66"/>
      <c r="EA36" s="66"/>
      <c r="EB36" s="66"/>
      <c r="EC36" s="66"/>
      <c r="ED36" s="66"/>
      <c r="EE36" s="66"/>
      <c r="EF36" s="66"/>
      <c r="EG36" s="66"/>
      <c r="EH36" s="66"/>
      <c r="EI36" s="66"/>
      <c r="EJ36" s="66"/>
      <c r="EK36" s="66"/>
      <c r="EL36" s="66"/>
      <c r="EM36" s="66"/>
      <c r="EN36" s="66"/>
      <c r="EO36" s="66"/>
      <c r="EP36" s="66"/>
      <c r="EQ36" s="66"/>
      <c r="ER36" s="66"/>
      <c r="ES36" s="66"/>
      <c r="ET36" s="66"/>
      <c r="EU36" s="66"/>
      <c r="EV36" s="66"/>
      <c r="EW36" s="66"/>
      <c r="EX36" s="66"/>
      <c r="EY36" s="66"/>
      <c r="EZ36" s="66"/>
      <c r="FA36" s="66"/>
      <c r="FB36" s="66"/>
      <c r="FC36" s="66"/>
      <c r="FD36" s="66"/>
      <c r="FE36" s="66"/>
      <c r="FF36" s="66"/>
      <c r="FG36" s="66"/>
      <c r="FH36" s="66"/>
      <c r="FI36" s="66"/>
      <c r="FJ36" s="66"/>
      <c r="FK36" s="66"/>
      <c r="FL36" s="66"/>
      <c r="FM36" s="66"/>
      <c r="FN36" s="66"/>
      <c r="FO36" s="66"/>
      <c r="FP36" s="66"/>
      <c r="FQ36" s="66"/>
      <c r="FR36" s="66"/>
      <c r="FS36" s="66"/>
      <c r="FT36" s="66"/>
      <c r="FU36" s="66"/>
      <c r="FV36" s="66"/>
      <c r="FW36" s="66"/>
      <c r="FX36" s="66"/>
      <c r="FY36" s="66"/>
      <c r="FZ36" s="66"/>
      <c r="GA36" s="66"/>
      <c r="GB36" s="66"/>
      <c r="GC36" s="66"/>
      <c r="GD36" s="66"/>
      <c r="GE36" s="66"/>
      <c r="GF36" s="66"/>
      <c r="GG36" s="66"/>
      <c r="GH36" s="66"/>
      <c r="GI36" s="66"/>
      <c r="GJ36" s="66"/>
      <c r="GK36" s="66"/>
      <c r="GL36" s="66"/>
      <c r="GM36" s="66"/>
      <c r="GN36" s="66"/>
      <c r="GO36" s="66"/>
      <c r="GP36" s="66"/>
      <c r="GQ36" s="66"/>
      <c r="GR36" s="66"/>
      <c r="GS36" s="66"/>
      <c r="GT36" s="66"/>
      <c r="GU36" s="66"/>
      <c r="GV36" s="66"/>
      <c r="GW36" s="66"/>
      <c r="GX36" s="66"/>
      <c r="GY36" s="66"/>
      <c r="GZ36" s="66"/>
      <c r="HA36" s="66"/>
      <c r="HB36" s="66"/>
      <c r="HC36" s="66"/>
      <c r="HD36" s="66"/>
      <c r="HE36" s="66"/>
      <c r="HF36" s="66"/>
      <c r="HG36" s="66"/>
      <c r="HH36" s="66"/>
      <c r="HI36" s="66"/>
      <c r="HJ36" s="66"/>
      <c r="HK36" s="66"/>
      <c r="HL36" s="66"/>
      <c r="HM36" s="66"/>
      <c r="HN36" s="66"/>
      <c r="HO36" s="66"/>
      <c r="HP36" s="66"/>
      <c r="HQ36" s="66"/>
      <c r="HR36" s="66"/>
      <c r="HS36" s="66"/>
      <c r="HT36" s="66"/>
      <c r="HU36" s="66"/>
      <c r="HV36" s="66"/>
      <c r="HW36" s="66"/>
      <c r="HX36" s="66"/>
      <c r="HY36" s="66"/>
      <c r="HZ36" s="66"/>
      <c r="IA36" s="66"/>
      <c r="IB36" s="66"/>
      <c r="IC36" s="66"/>
      <c r="ID36" s="66"/>
      <c r="IE36" s="66"/>
      <c r="IF36" s="66"/>
      <c r="IG36" s="66"/>
      <c r="IH36" s="66"/>
      <c r="II36" s="66"/>
      <c r="IJ36" s="66"/>
      <c r="IK36" s="66"/>
      <c r="IL36" s="66"/>
      <c r="IM36" s="66"/>
      <c r="IN36" s="66"/>
      <c r="IO36" s="66"/>
      <c r="IP36" s="66"/>
      <c r="IQ36" s="66"/>
      <c r="IR36" s="66"/>
      <c r="IS36" s="66"/>
      <c r="IT36" s="66"/>
      <c r="IU36" s="66"/>
      <c r="IV36" s="66"/>
      <c r="IW36" s="66"/>
      <c r="IX36" s="66"/>
      <c r="IY36" s="66"/>
      <c r="IZ36" s="66"/>
      <c r="JA36" s="66"/>
      <c r="JB36" s="66"/>
      <c r="JC36" s="66"/>
      <c r="JD36" s="66"/>
      <c r="JE36" s="66"/>
      <c r="JF36" s="66"/>
      <c r="JG36" s="66"/>
      <c r="JH36" s="66"/>
      <c r="JI36" s="66"/>
      <c r="JJ36" s="66"/>
      <c r="JK36" s="66"/>
      <c r="JL36" s="66"/>
      <c r="JM36" s="66"/>
      <c r="JN36" s="66"/>
      <c r="JO36" s="66"/>
      <c r="JP36" s="66"/>
      <c r="JQ36" s="66"/>
      <c r="JR36" s="66"/>
      <c r="JS36" s="66"/>
      <c r="JT36" s="66"/>
      <c r="JU36" s="66"/>
      <c r="JV36" s="66"/>
      <c r="JW36" s="66"/>
      <c r="JX36" s="66"/>
      <c r="JY36" s="66"/>
      <c r="JZ36" s="66"/>
      <c r="KA36" s="66"/>
      <c r="KB36" s="66"/>
      <c r="KC36" s="66"/>
      <c r="KD36" s="66"/>
      <c r="KE36" s="66"/>
      <c r="KF36" s="66"/>
      <c r="KG36" s="66"/>
      <c r="KH36" s="66"/>
      <c r="KI36" s="66"/>
      <c r="KJ36" s="66"/>
      <c r="KK36" s="66"/>
      <c r="KL36" s="66"/>
      <c r="KM36" s="66"/>
      <c r="KN36" s="66"/>
      <c r="KO36" s="66"/>
      <c r="KP36" s="66"/>
      <c r="KQ36" s="66"/>
      <c r="KR36" s="66"/>
      <c r="KS36" s="66"/>
      <c r="KT36" s="66"/>
      <c r="KU36" s="66"/>
      <c r="KV36" s="66"/>
      <c r="KW36" s="66"/>
      <c r="KX36" s="66"/>
      <c r="KY36" s="66"/>
      <c r="KZ36" s="66"/>
      <c r="LA36" s="66"/>
      <c r="LB36" s="66"/>
      <c r="LC36" s="66"/>
      <c r="LD36" s="66"/>
      <c r="LE36" s="66"/>
      <c r="LF36" s="66"/>
      <c r="LG36" s="66"/>
      <c r="LH36" s="66"/>
      <c r="LI36" s="66"/>
      <c r="LJ36" s="66"/>
      <c r="LK36" s="66"/>
      <c r="LL36" s="66"/>
      <c r="LM36" s="66"/>
      <c r="LN36" s="66"/>
      <c r="LO36" s="66"/>
      <c r="LP36" s="66"/>
      <c r="LQ36" s="66"/>
      <c r="LR36" s="66"/>
      <c r="LS36" s="66"/>
      <c r="LT36" s="66"/>
      <c r="LU36" s="66"/>
      <c r="LV36" s="66"/>
      <c r="LW36" s="66"/>
      <c r="LX36" s="66"/>
      <c r="LY36" s="66"/>
      <c r="LZ36" s="66"/>
      <c r="MA36" s="66"/>
      <c r="MB36" s="66"/>
      <c r="MC36" s="66"/>
      <c r="MD36" s="66"/>
      <c r="ME36" s="66"/>
      <c r="MF36" s="66"/>
      <c r="MG36" s="66"/>
      <c r="MH36" s="66"/>
      <c r="MI36" s="66"/>
      <c r="MJ36" s="66"/>
      <c r="MK36" s="66"/>
      <c r="ML36" s="66"/>
      <c r="MM36" s="66"/>
      <c r="MN36" s="66"/>
      <c r="MO36" s="66"/>
      <c r="MP36" s="66"/>
      <c r="MQ36" s="66"/>
      <c r="MR36" s="66"/>
      <c r="MS36" s="66"/>
      <c r="MT36" s="66"/>
      <c r="MU36" s="66"/>
      <c r="MV36" s="66"/>
      <c r="MW36" s="66"/>
      <c r="MX36" s="66"/>
      <c r="MY36" s="66"/>
      <c r="MZ36" s="66"/>
      <c r="NA36" s="66"/>
      <c r="NB36" s="66"/>
      <c r="NC36" s="66"/>
      <c r="ND36" s="66"/>
      <c r="NE36" s="66"/>
      <c r="NF36" s="66"/>
      <c r="NG36" s="66"/>
      <c r="NH36" s="66"/>
      <c r="NI36" s="66"/>
      <c r="NJ36" s="66"/>
      <c r="NK36" s="66"/>
      <c r="NL36" s="66"/>
      <c r="NM36" s="66"/>
      <c r="NN36" s="66"/>
      <c r="NO36" s="66"/>
      <c r="NP36" s="66"/>
      <c r="NQ36" s="66"/>
      <c r="NR36" s="66"/>
      <c r="NS36" s="66"/>
      <c r="NT36" s="66"/>
      <c r="NU36" s="66"/>
      <c r="NV36" s="66"/>
      <c r="NW36" s="66"/>
      <c r="NX36" s="66"/>
      <c r="NY36" s="66"/>
      <c r="NZ36" s="66"/>
      <c r="OA36" s="66"/>
      <c r="OB36" s="66"/>
      <c r="OC36" s="66"/>
      <c r="OD36" s="66"/>
      <c r="OE36" s="66"/>
      <c r="OF36" s="66"/>
      <c r="OG36" s="66"/>
      <c r="OH36" s="66"/>
      <c r="OI36" s="66"/>
      <c r="OJ36" s="66"/>
      <c r="OK36" s="66"/>
      <c r="OL36" s="66"/>
      <c r="OM36" s="66"/>
      <c r="ON36" s="66"/>
      <c r="OO36" s="66"/>
      <c r="OP36" s="66"/>
      <c r="OQ36" s="66"/>
      <c r="OR36" s="66"/>
      <c r="OS36" s="66"/>
      <c r="OT36" s="66"/>
      <c r="OU36" s="66"/>
      <c r="OV36" s="66"/>
      <c r="OW36" s="66"/>
      <c r="OX36" s="66"/>
      <c r="OY36" s="66"/>
      <c r="OZ36" s="66"/>
      <c r="PA36" s="66"/>
      <c r="PB36" s="66"/>
      <c r="PC36" s="66"/>
      <c r="PD36" s="66"/>
      <c r="PE36" s="66"/>
      <c r="PF36" s="66"/>
      <c r="PG36" s="66"/>
      <c r="PH36" s="66"/>
      <c r="PI36" s="66"/>
      <c r="PJ36" s="66"/>
      <c r="PK36" s="66"/>
      <c r="PL36" s="66"/>
      <c r="PM36" s="66"/>
      <c r="PN36" s="66"/>
      <c r="PO36" s="66"/>
      <c r="PP36" s="66"/>
      <c r="PQ36" s="66"/>
      <c r="PR36" s="66"/>
      <c r="PS36" s="66"/>
      <c r="PT36" s="66"/>
      <c r="PU36" s="66"/>
      <c r="PV36" s="66"/>
      <c r="PW36" s="66"/>
      <c r="PX36" s="66"/>
      <c r="PY36" s="66"/>
      <c r="PZ36" s="66"/>
      <c r="QA36" s="66"/>
      <c r="QB36" s="66"/>
      <c r="QC36" s="66"/>
      <c r="QD36" s="66"/>
      <c r="QE36" s="66"/>
      <c r="QF36" s="66"/>
      <c r="QG36" s="66"/>
      <c r="QH36" s="66"/>
      <c r="QI36" s="66"/>
      <c r="QJ36" s="66"/>
      <c r="QK36" s="66"/>
      <c r="QL36" s="66"/>
      <c r="QM36" s="66"/>
      <c r="QN36" s="66"/>
      <c r="QO36" s="66"/>
      <c r="QP36" s="66"/>
      <c r="QQ36" s="66"/>
      <c r="QR36" s="66"/>
      <c r="QS36" s="66"/>
      <c r="QT36" s="66"/>
      <c r="QU36" s="66"/>
      <c r="QV36" s="66"/>
      <c r="QW36" s="66"/>
      <c r="QX36" s="66"/>
      <c r="QY36" s="66"/>
      <c r="QZ36" s="66"/>
      <c r="RA36" s="66"/>
      <c r="RB36" s="66"/>
      <c r="RC36" s="66"/>
      <c r="RD36" s="66"/>
      <c r="RE36" s="66"/>
      <c r="RF36" s="66"/>
      <c r="RG36" s="66"/>
      <c r="RH36" s="66"/>
      <c r="RI36" s="66"/>
      <c r="RJ36" s="66"/>
      <c r="RK36" s="66"/>
      <c r="RL36" s="66"/>
      <c r="RM36" s="66"/>
      <c r="RN36" s="66"/>
      <c r="RO36" s="66"/>
      <c r="RP36" s="66"/>
      <c r="RQ36" s="66"/>
      <c r="RR36" s="66"/>
      <c r="RS36" s="66"/>
      <c r="RT36" s="66"/>
      <c r="RU36" s="66"/>
      <c r="RV36" s="66"/>
      <c r="RW36" s="66"/>
      <c r="RX36" s="66"/>
      <c r="RY36" s="66"/>
      <c r="RZ36" s="66"/>
      <c r="SA36" s="66"/>
      <c r="SB36" s="66"/>
      <c r="SC36" s="66"/>
      <c r="SD36" s="66"/>
      <c r="SE36" s="66"/>
      <c r="SF36" s="66"/>
      <c r="SG36" s="66"/>
      <c r="SH36" s="66"/>
      <c r="SI36" s="66"/>
      <c r="SJ36" s="66"/>
      <c r="SK36" s="66"/>
      <c r="SL36" s="66"/>
      <c r="SM36" s="66"/>
      <c r="SN36" s="66"/>
      <c r="SO36" s="66"/>
      <c r="SP36" s="66"/>
      <c r="SQ36" s="66"/>
      <c r="SR36" s="66"/>
      <c r="SS36" s="66"/>
      <c r="ST36" s="66"/>
      <c r="SU36" s="66"/>
      <c r="SV36" s="66"/>
      <c r="SW36" s="66"/>
      <c r="SX36" s="66"/>
      <c r="SY36" s="66"/>
      <c r="SZ36" s="66"/>
      <c r="TA36" s="66"/>
      <c r="TB36" s="66"/>
      <c r="TC36" s="66"/>
      <c r="TD36" s="66"/>
      <c r="TE36" s="66"/>
      <c r="TF36" s="66"/>
      <c r="TG36" s="66"/>
      <c r="TH36" s="66"/>
      <c r="TI36" s="66"/>
      <c r="TJ36" s="66"/>
      <c r="TK36" s="66"/>
      <c r="TL36" s="66"/>
      <c r="TM36" s="66"/>
      <c r="TN36" s="66"/>
      <c r="TO36" s="66"/>
      <c r="TP36" s="66"/>
      <c r="TQ36" s="66"/>
      <c r="TR36" s="66"/>
      <c r="TS36" s="66"/>
      <c r="TT36" s="66"/>
      <c r="TU36" s="66"/>
      <c r="TV36" s="66"/>
      <c r="TW36" s="66"/>
      <c r="TX36" s="66"/>
      <c r="TY36" s="66"/>
      <c r="TZ36" s="66"/>
      <c r="UA36" s="66"/>
      <c r="UB36" s="66"/>
      <c r="UC36" s="66"/>
      <c r="UD36" s="66"/>
      <c r="UE36" s="66"/>
      <c r="UF36" s="66"/>
      <c r="UG36" s="66"/>
      <c r="UH36" s="66"/>
      <c r="UI36" s="66"/>
      <c r="UJ36" s="66"/>
      <c r="UK36" s="66"/>
      <c r="UL36" s="66"/>
      <c r="UM36" s="66"/>
      <c r="UN36" s="66"/>
      <c r="UO36" s="66"/>
      <c r="UP36" s="66"/>
      <c r="UQ36" s="66"/>
      <c r="UR36" s="66"/>
      <c r="US36" s="66"/>
      <c r="UT36" s="66"/>
      <c r="UU36" s="66"/>
      <c r="UV36" s="66"/>
      <c r="UW36" s="66"/>
      <c r="UX36" s="66"/>
      <c r="UY36" s="66"/>
      <c r="UZ36" s="66"/>
      <c r="VA36" s="66"/>
      <c r="VB36" s="66"/>
      <c r="VC36" s="66"/>
      <c r="VD36" s="66"/>
      <c r="VE36" s="66"/>
      <c r="VF36" s="66"/>
      <c r="VG36" s="66"/>
      <c r="VH36" s="66"/>
      <c r="VI36" s="66"/>
      <c r="VJ36" s="66"/>
      <c r="VK36" s="66"/>
      <c r="VL36" s="66"/>
      <c r="VM36" s="66"/>
      <c r="VN36" s="66"/>
      <c r="VO36" s="66"/>
      <c r="VP36" s="66"/>
      <c r="VQ36" s="66"/>
      <c r="VR36" s="66"/>
      <c r="VS36" s="66"/>
      <c r="VT36" s="66"/>
      <c r="VU36" s="66"/>
      <c r="VV36" s="66"/>
      <c r="VW36" s="66"/>
      <c r="VX36" s="66"/>
      <c r="VY36" s="66"/>
      <c r="VZ36" s="66"/>
      <c r="WA36" s="66"/>
      <c r="WB36" s="66"/>
      <c r="WC36" s="66"/>
      <c r="WD36" s="66"/>
      <c r="WE36" s="66"/>
      <c r="WF36" s="66"/>
      <c r="WG36" s="66"/>
      <c r="WH36" s="66"/>
      <c r="WI36" s="66"/>
      <c r="WJ36" s="66"/>
      <c r="WK36" s="66"/>
      <c r="WL36" s="66"/>
      <c r="WM36" s="66"/>
      <c r="WN36" s="66"/>
      <c r="WO36" s="66"/>
      <c r="WP36" s="66"/>
      <c r="WQ36" s="66"/>
      <c r="WR36" s="66"/>
      <c r="WS36" s="66"/>
      <c r="WT36" s="66"/>
      <c r="WU36" s="66"/>
      <c r="WV36" s="66"/>
      <c r="WW36" s="66"/>
      <c r="WX36" s="66"/>
      <c r="WY36" s="66"/>
      <c r="WZ36" s="66"/>
      <c r="XA36" s="66"/>
      <c r="XB36" s="66"/>
      <c r="XC36" s="66"/>
      <c r="XD36" s="66"/>
      <c r="XE36" s="66"/>
      <c r="XF36" s="66"/>
      <c r="XG36" s="66"/>
      <c r="XH36" s="66"/>
      <c r="XI36" s="66"/>
      <c r="XJ36" s="66"/>
      <c r="XK36" s="66"/>
      <c r="XL36" s="66"/>
      <c r="XM36" s="66"/>
      <c r="XN36" s="66"/>
      <c r="XO36" s="66"/>
      <c r="XP36" s="66"/>
      <c r="XQ36" s="66"/>
      <c r="XR36" s="66"/>
      <c r="XS36" s="66"/>
      <c r="XT36" s="66"/>
      <c r="XU36" s="66"/>
      <c r="XV36" s="66"/>
      <c r="XW36" s="66"/>
      <c r="XX36" s="66"/>
      <c r="XY36" s="66"/>
      <c r="XZ36" s="66"/>
      <c r="YA36" s="66"/>
      <c r="YB36" s="66"/>
      <c r="YC36" s="66"/>
      <c r="YD36" s="66"/>
      <c r="YE36" s="66"/>
      <c r="YF36" s="66"/>
      <c r="YG36" s="66"/>
      <c r="YH36" s="66"/>
      <c r="YI36" s="66"/>
      <c r="YJ36" s="66"/>
      <c r="YK36" s="66"/>
      <c r="YL36" s="66"/>
      <c r="YM36" s="66"/>
      <c r="YN36" s="66"/>
      <c r="YO36" s="66"/>
      <c r="YP36" s="66"/>
      <c r="YQ36" s="66"/>
      <c r="YR36" s="66"/>
      <c r="YS36" s="66"/>
      <c r="YT36" s="66"/>
      <c r="YU36" s="66"/>
      <c r="YV36" s="66"/>
      <c r="YW36" s="66"/>
      <c r="YX36" s="66"/>
      <c r="YY36" s="66"/>
      <c r="YZ36" s="66"/>
      <c r="ZA36" s="66"/>
      <c r="ZB36" s="66"/>
      <c r="ZC36" s="66"/>
      <c r="ZD36" s="66"/>
      <c r="ZE36" s="66"/>
      <c r="ZF36" s="66"/>
      <c r="ZG36" s="66"/>
      <c r="ZH36" s="66"/>
      <c r="ZI36" s="66"/>
      <c r="ZJ36" s="66"/>
      <c r="ZK36" s="66"/>
      <c r="ZL36" s="66"/>
      <c r="ZM36" s="66"/>
      <c r="ZN36" s="66"/>
      <c r="ZO36" s="66"/>
      <c r="ZP36" s="66"/>
      <c r="ZQ36" s="66"/>
      <c r="ZR36" s="66"/>
      <c r="ZS36" s="66"/>
      <c r="ZT36" s="66"/>
      <c r="ZU36" s="66"/>
      <c r="ZV36" s="66"/>
      <c r="ZW36" s="66"/>
      <c r="ZX36" s="66"/>
      <c r="ZY36" s="66"/>
      <c r="ZZ36" s="66"/>
      <c r="AAA36" s="66"/>
      <c r="AAB36" s="66"/>
      <c r="AAC36" s="66"/>
      <c r="AAD36" s="66"/>
      <c r="AAE36" s="66"/>
      <c r="AAF36" s="66"/>
      <c r="AAG36" s="66"/>
      <c r="AAH36" s="66"/>
      <c r="AAI36" s="66"/>
      <c r="AAJ36" s="66"/>
      <c r="AAK36" s="66"/>
      <c r="AAL36" s="66"/>
      <c r="AAM36" s="66"/>
      <c r="AAN36" s="66"/>
      <c r="AAO36" s="66"/>
      <c r="AAP36" s="66"/>
      <c r="AAQ36" s="66"/>
      <c r="AAR36" s="66"/>
      <c r="AAS36" s="66"/>
      <c r="AAT36" s="66"/>
      <c r="AAU36" s="66"/>
      <c r="AAV36" s="66"/>
      <c r="AAW36" s="66"/>
      <c r="AAX36" s="66"/>
      <c r="AAY36" s="66"/>
      <c r="AAZ36" s="66"/>
      <c r="ABA36" s="66"/>
      <c r="ABB36" s="66"/>
      <c r="ABC36" s="66"/>
      <c r="ABD36" s="66"/>
      <c r="ABE36" s="66"/>
      <c r="ABF36" s="66"/>
      <c r="ABG36" s="66"/>
      <c r="ABH36" s="66"/>
      <c r="ABI36" s="66"/>
      <c r="ABJ36" s="66"/>
      <c r="ABK36" s="66"/>
      <c r="ABL36" s="66"/>
      <c r="ABM36" s="66"/>
      <c r="ABN36" s="66"/>
      <c r="ABO36" s="66"/>
      <c r="ABP36" s="66"/>
      <c r="ABQ36" s="66"/>
      <c r="ABR36" s="66"/>
      <c r="ABS36" s="66"/>
      <c r="ABT36" s="66"/>
      <c r="ABU36" s="66"/>
      <c r="ABV36" s="66"/>
      <c r="ABW36" s="66"/>
      <c r="ABX36" s="66"/>
      <c r="ABY36" s="66"/>
      <c r="ABZ36" s="66"/>
      <c r="ACA36" s="66"/>
      <c r="ACB36" s="66"/>
      <c r="ACC36" s="66"/>
      <c r="ACD36" s="66"/>
      <c r="ACE36" s="66"/>
      <c r="ACF36" s="66"/>
      <c r="ACG36" s="66"/>
      <c r="ACH36" s="66"/>
      <c r="ACI36" s="66"/>
      <c r="ACJ36" s="66"/>
      <c r="ACK36" s="66"/>
      <c r="ACL36" s="66"/>
      <c r="ACM36" s="66"/>
      <c r="ACN36" s="66"/>
      <c r="ACO36" s="66"/>
      <c r="ACP36" s="66"/>
      <c r="ACQ36" s="66"/>
      <c r="ACR36" s="66"/>
      <c r="ACS36" s="66"/>
      <c r="ACT36" s="66"/>
      <c r="ACU36" s="66"/>
      <c r="ACV36" s="66"/>
      <c r="ACW36" s="66"/>
      <c r="ACX36" s="66"/>
      <c r="ACY36" s="66"/>
      <c r="ACZ36" s="66"/>
      <c r="ADA36" s="66"/>
      <c r="ADB36" s="66"/>
      <c r="ADC36" s="66"/>
      <c r="ADD36" s="66"/>
      <c r="ADE36" s="66"/>
      <c r="ADF36" s="66"/>
      <c r="ADG36" s="66"/>
      <c r="ADH36" s="66"/>
      <c r="ADI36" s="66"/>
      <c r="ADJ36" s="66"/>
      <c r="ADK36" s="66"/>
      <c r="ADL36" s="66"/>
      <c r="ADM36" s="66"/>
      <c r="ADN36" s="66"/>
      <c r="ADO36" s="66"/>
      <c r="ADP36" s="66"/>
      <c r="ADQ36" s="66"/>
      <c r="ADR36" s="66"/>
      <c r="ADS36" s="66"/>
      <c r="ADT36" s="66"/>
      <c r="ADU36" s="66"/>
      <c r="ADV36" s="66"/>
      <c r="ADW36" s="66"/>
      <c r="ADX36" s="66"/>
      <c r="ADY36" s="66"/>
      <c r="ADZ36" s="66"/>
      <c r="AEA36" s="66"/>
      <c r="AEB36" s="66"/>
      <c r="AEC36" s="66"/>
      <c r="AED36" s="66"/>
      <c r="AEE36" s="66"/>
      <c r="AEF36" s="66"/>
      <c r="AEG36" s="66"/>
      <c r="AEH36" s="66"/>
      <c r="AEI36" s="66"/>
      <c r="AEJ36" s="66"/>
      <c r="AEK36" s="66"/>
      <c r="AEL36" s="66"/>
      <c r="AEM36" s="66"/>
      <c r="AEN36" s="66"/>
      <c r="AEO36" s="66"/>
      <c r="AEP36" s="66"/>
      <c r="AEQ36" s="66"/>
      <c r="AER36" s="66"/>
      <c r="AES36" s="66"/>
      <c r="AET36" s="66"/>
      <c r="AEU36" s="66"/>
      <c r="AEV36" s="66"/>
      <c r="AEW36" s="66"/>
      <c r="AEX36" s="66"/>
      <c r="AEY36" s="66"/>
      <c r="AEZ36" s="66"/>
      <c r="AFA36" s="66"/>
      <c r="AFB36" s="66"/>
      <c r="AFC36" s="66"/>
      <c r="AFD36" s="66"/>
      <c r="AFE36" s="66"/>
      <c r="AFF36" s="66"/>
      <c r="AFG36" s="66"/>
      <c r="AFH36" s="66"/>
      <c r="AFI36" s="66"/>
      <c r="AFJ36" s="66"/>
      <c r="AFK36" s="66"/>
      <c r="AFL36" s="66"/>
      <c r="AFM36" s="66"/>
      <c r="AFN36" s="66"/>
      <c r="AFO36" s="66"/>
      <c r="AFP36" s="66"/>
      <c r="AFQ36" s="66"/>
      <c r="AFR36" s="66"/>
      <c r="AFS36" s="66"/>
      <c r="AFT36" s="66"/>
      <c r="AFU36" s="66"/>
      <c r="AFV36" s="66"/>
      <c r="AFW36" s="66"/>
      <c r="AFX36" s="66"/>
      <c r="AFY36" s="66"/>
      <c r="AFZ36" s="66"/>
      <c r="AGA36" s="66"/>
      <c r="AGB36" s="66"/>
      <c r="AGC36" s="66"/>
      <c r="AGD36" s="66"/>
      <c r="AGE36" s="66"/>
      <c r="AGF36" s="66"/>
      <c r="AGG36" s="66"/>
      <c r="AGH36" s="66"/>
      <c r="AGI36" s="66"/>
      <c r="AGJ36" s="66"/>
      <c r="AGK36" s="66"/>
      <c r="AGL36" s="66"/>
      <c r="AGM36" s="66"/>
      <c r="AGN36" s="66"/>
      <c r="AGO36" s="66"/>
      <c r="AGP36" s="66"/>
      <c r="AGQ36" s="66"/>
      <c r="AGR36" s="66"/>
      <c r="AGS36" s="66"/>
      <c r="AGT36" s="66"/>
      <c r="AGU36" s="66"/>
      <c r="AGV36" s="66"/>
      <c r="AGW36" s="66"/>
      <c r="AGX36" s="66"/>
      <c r="AGY36" s="66"/>
      <c r="AGZ36" s="66"/>
      <c r="AHA36" s="66"/>
      <c r="AHB36" s="66"/>
      <c r="AHC36" s="66"/>
      <c r="AHD36" s="66"/>
      <c r="AHE36" s="66"/>
      <c r="AHF36" s="66"/>
      <c r="AHG36" s="66"/>
      <c r="AHH36" s="66"/>
      <c r="AHI36" s="66"/>
      <c r="AHJ36" s="66"/>
      <c r="AHK36" s="66"/>
      <c r="AHL36" s="66"/>
      <c r="AHM36" s="66"/>
      <c r="AHN36" s="66"/>
      <c r="AHO36" s="66"/>
      <c r="AHP36" s="66"/>
      <c r="AHQ36" s="66"/>
      <c r="AHR36" s="66"/>
      <c r="AHS36" s="66"/>
      <c r="AHT36" s="66"/>
      <c r="AHU36" s="66"/>
      <c r="AHV36" s="66"/>
      <c r="AHW36" s="66"/>
      <c r="AHX36" s="66"/>
      <c r="AHY36" s="66"/>
      <c r="AHZ36" s="66"/>
      <c r="AIA36" s="66"/>
      <c r="AIB36" s="66"/>
      <c r="AIC36" s="66"/>
      <c r="AID36" s="66"/>
      <c r="AIE36" s="66"/>
      <c r="AIF36" s="66"/>
      <c r="AIG36" s="66"/>
      <c r="AIH36" s="66"/>
      <c r="AII36" s="66"/>
      <c r="AIJ36" s="66"/>
      <c r="AIK36" s="66"/>
      <c r="AIL36" s="66"/>
      <c r="AIM36" s="66"/>
      <c r="AIN36" s="66"/>
      <c r="AIO36" s="66"/>
      <c r="AIP36" s="66"/>
      <c r="AIQ36" s="66"/>
      <c r="AIR36" s="66"/>
    </row>
    <row r="37" spans="1:928" ht="16.5" customHeight="1">
      <c r="A37" s="446" t="s">
        <v>159</v>
      </c>
      <c r="B37" s="446"/>
      <c r="C37" s="446"/>
      <c r="D37" s="446"/>
      <c r="E37" s="110"/>
      <c r="F37" s="110"/>
      <c r="G37" s="110"/>
      <c r="H37" s="110"/>
      <c r="I37" s="110"/>
      <c r="J37" s="110"/>
      <c r="K37" s="110"/>
      <c r="L37" s="110"/>
      <c r="M37" s="110"/>
      <c r="N37" s="110"/>
      <c r="O37" s="110"/>
      <c r="P37" s="110"/>
      <c r="Q37" s="112">
        <f t="shared" ref="Q37:Q39" si="4">SUM(E37:P37)</f>
        <v>0</v>
      </c>
    </row>
    <row r="38" spans="1:928" ht="16.5" customHeight="1">
      <c r="A38" s="425" t="s">
        <v>160</v>
      </c>
      <c r="B38" s="425"/>
      <c r="C38" s="425"/>
      <c r="D38" s="425"/>
      <c r="E38" s="110"/>
      <c r="F38" s="110"/>
      <c r="G38" s="110"/>
      <c r="H38" s="110"/>
      <c r="I38" s="110"/>
      <c r="J38" s="110"/>
      <c r="K38" s="110"/>
      <c r="L38" s="110"/>
      <c r="M38" s="110"/>
      <c r="N38" s="110"/>
      <c r="O38" s="110"/>
      <c r="P38" s="110"/>
      <c r="Q38" s="112">
        <f t="shared" si="4"/>
        <v>0</v>
      </c>
    </row>
    <row r="39" spans="1:928" ht="16.5" customHeight="1">
      <c r="A39" s="428" t="s">
        <v>161</v>
      </c>
      <c r="B39" s="428"/>
      <c r="C39" s="428"/>
      <c r="D39" s="428"/>
      <c r="E39" s="120">
        <f t="shared" ref="E39:P39" si="5">E37+E38</f>
        <v>0</v>
      </c>
      <c r="F39" s="120">
        <f t="shared" si="5"/>
        <v>0</v>
      </c>
      <c r="G39" s="120">
        <f t="shared" si="5"/>
        <v>0</v>
      </c>
      <c r="H39" s="120">
        <f t="shared" si="5"/>
        <v>0</v>
      </c>
      <c r="I39" s="120">
        <f t="shared" si="5"/>
        <v>0</v>
      </c>
      <c r="J39" s="120">
        <f t="shared" si="5"/>
        <v>0</v>
      </c>
      <c r="K39" s="120">
        <f t="shared" si="5"/>
        <v>0</v>
      </c>
      <c r="L39" s="120">
        <f t="shared" si="5"/>
        <v>0</v>
      </c>
      <c r="M39" s="120">
        <f t="shared" si="5"/>
        <v>0</v>
      </c>
      <c r="N39" s="120">
        <f t="shared" si="5"/>
        <v>0</v>
      </c>
      <c r="O39" s="120">
        <f t="shared" si="5"/>
        <v>0</v>
      </c>
      <c r="P39" s="120">
        <f t="shared" si="5"/>
        <v>0</v>
      </c>
      <c r="Q39" s="119">
        <f t="shared" si="4"/>
        <v>0</v>
      </c>
    </row>
    <row r="40" spans="1:928" s="44" customFormat="1" ht="18">
      <c r="A40" s="436" t="s">
        <v>162</v>
      </c>
      <c r="B40" s="436"/>
      <c r="C40" s="436"/>
      <c r="D40" s="436"/>
      <c r="E40" s="121">
        <f>E39+E35+E18</f>
        <v>135200</v>
      </c>
      <c r="F40" s="121">
        <f>F39+F35+F18</f>
        <v>135200</v>
      </c>
      <c r="G40" s="121">
        <f>G39+G35+G18</f>
        <v>135200</v>
      </c>
      <c r="H40" s="121">
        <f>H39+H35+H18</f>
        <v>135200</v>
      </c>
      <c r="I40" s="121">
        <f>I39+I35+I18</f>
        <v>135200</v>
      </c>
      <c r="J40" s="121">
        <f>J39+J35+J18</f>
        <v>135200</v>
      </c>
      <c r="K40" s="121">
        <f>K39+K35+K18</f>
        <v>135200</v>
      </c>
      <c r="L40" s="121">
        <f>L39+L35+L18</f>
        <v>135200</v>
      </c>
      <c r="M40" s="121">
        <f>M39+M35+M18</f>
        <v>135200</v>
      </c>
      <c r="N40" s="121">
        <f>N39+N35+N18</f>
        <v>135200</v>
      </c>
      <c r="O40" s="121">
        <f>O39+O35+O18</f>
        <v>135200</v>
      </c>
      <c r="P40" s="121">
        <f>P39+P35+P18</f>
        <v>135200</v>
      </c>
      <c r="Q40" s="122">
        <f>Q39+Q35+Q18</f>
        <v>1622400</v>
      </c>
    </row>
    <row r="41" spans="1:928" s="44" customFormat="1" ht="16.5" customHeight="1">
      <c r="A41" s="123"/>
      <c r="B41" s="123"/>
      <c r="C41" s="123"/>
      <c r="D41" s="123"/>
      <c r="E41" s="124"/>
      <c r="F41" s="124"/>
      <c r="G41" s="124"/>
      <c r="H41" s="124"/>
      <c r="I41" s="124"/>
      <c r="J41" s="124"/>
      <c r="K41" s="124"/>
      <c r="L41" s="124"/>
      <c r="M41" s="124"/>
      <c r="N41" s="124"/>
      <c r="O41" s="124"/>
      <c r="P41" s="124"/>
      <c r="Q41" s="125"/>
    </row>
    <row r="42" spans="1:928" ht="16.5" customHeight="1">
      <c r="A42" s="431" t="s">
        <v>163</v>
      </c>
      <c r="B42" s="431"/>
      <c r="C42" s="431"/>
      <c r="D42" s="431"/>
      <c r="E42" s="101"/>
      <c r="F42" s="101"/>
      <c r="G42" s="101"/>
      <c r="H42" s="101"/>
      <c r="I42" s="101"/>
      <c r="J42" s="101"/>
      <c r="K42" s="101"/>
      <c r="L42" s="101"/>
      <c r="M42" s="101"/>
      <c r="N42" s="101"/>
      <c r="O42" s="101"/>
      <c r="P42" s="101"/>
      <c r="Q42" s="117"/>
    </row>
    <row r="43" spans="1:928" ht="16.5" customHeight="1">
      <c r="A43" s="423" t="s">
        <v>340</v>
      </c>
      <c r="B43" s="438"/>
      <c r="C43" s="438"/>
      <c r="D43" s="438"/>
      <c r="E43" s="105">
        <v>33000</v>
      </c>
      <c r="F43" s="105">
        <v>33000</v>
      </c>
      <c r="G43" s="105">
        <v>33000</v>
      </c>
      <c r="H43" s="105">
        <v>33000</v>
      </c>
      <c r="I43" s="105">
        <v>33000</v>
      </c>
      <c r="J43" s="105">
        <v>33000</v>
      </c>
      <c r="K43" s="105">
        <v>33000</v>
      </c>
      <c r="L43" s="105">
        <v>33000</v>
      </c>
      <c r="M43" s="105">
        <v>33000</v>
      </c>
      <c r="N43" s="105">
        <v>33000</v>
      </c>
      <c r="O43" s="105">
        <v>33000</v>
      </c>
      <c r="P43" s="105">
        <v>33000</v>
      </c>
      <c r="Q43" s="128">
        <f t="shared" ref="Q43:Q45" si="6">SUM(E43:P43)</f>
        <v>396000</v>
      </c>
    </row>
    <row r="44" spans="1:928" ht="16.5" customHeight="1">
      <c r="A44" s="423" t="s">
        <v>343</v>
      </c>
      <c r="B44" s="423"/>
      <c r="C44" s="423"/>
      <c r="D44" s="423"/>
      <c r="E44" s="105"/>
      <c r="F44" s="105"/>
      <c r="G44" s="105"/>
      <c r="H44" s="105"/>
      <c r="I44" s="105"/>
      <c r="J44" s="105"/>
      <c r="K44" s="105"/>
      <c r="L44" s="105"/>
      <c r="M44" s="105"/>
      <c r="N44" s="105"/>
      <c r="O44" s="105"/>
      <c r="P44" s="105"/>
      <c r="Q44" s="128"/>
    </row>
    <row r="45" spans="1:928" ht="16.5" customHeight="1">
      <c r="A45" s="126" t="s">
        <v>341</v>
      </c>
      <c r="B45" s="127"/>
      <c r="C45" s="127"/>
      <c r="D45" s="127"/>
      <c r="E45" s="105"/>
      <c r="F45" s="105"/>
      <c r="G45" s="105"/>
      <c r="H45" s="105"/>
      <c r="I45" s="105"/>
      <c r="J45" s="105"/>
      <c r="K45" s="105"/>
      <c r="L45" s="105"/>
      <c r="M45" s="105"/>
      <c r="N45" s="105"/>
      <c r="O45" s="105"/>
      <c r="P45" s="105"/>
      <c r="Q45" s="128">
        <f t="shared" si="6"/>
        <v>0</v>
      </c>
    </row>
    <row r="46" spans="1:928" s="44" customFormat="1" ht="18" customHeight="1">
      <c r="A46" s="436" t="s">
        <v>164</v>
      </c>
      <c r="B46" s="436"/>
      <c r="C46" s="436"/>
      <c r="D46" s="436"/>
      <c r="E46" s="121">
        <f>SUM(E43:E45)</f>
        <v>33000</v>
      </c>
      <c r="F46" s="121">
        <f t="shared" ref="F46:P46" si="7">SUM(F43:F45)</f>
        <v>33000</v>
      </c>
      <c r="G46" s="121">
        <f t="shared" si="7"/>
        <v>33000</v>
      </c>
      <c r="H46" s="121">
        <f t="shared" si="7"/>
        <v>33000</v>
      </c>
      <c r="I46" s="121">
        <f t="shared" si="7"/>
        <v>33000</v>
      </c>
      <c r="J46" s="121">
        <f t="shared" si="7"/>
        <v>33000</v>
      </c>
      <c r="K46" s="121">
        <f t="shared" si="7"/>
        <v>33000</v>
      </c>
      <c r="L46" s="121">
        <f t="shared" si="7"/>
        <v>33000</v>
      </c>
      <c r="M46" s="121">
        <f t="shared" si="7"/>
        <v>33000</v>
      </c>
      <c r="N46" s="121">
        <f t="shared" si="7"/>
        <v>33000</v>
      </c>
      <c r="O46" s="121">
        <f t="shared" si="7"/>
        <v>33000</v>
      </c>
      <c r="P46" s="121">
        <f t="shared" si="7"/>
        <v>33000</v>
      </c>
      <c r="Q46" s="122">
        <f t="shared" ref="Q46" si="8">SUM(E46:P46)</f>
        <v>396000</v>
      </c>
    </row>
    <row r="47" spans="1:928" ht="16.5" customHeight="1">
      <c r="A47" s="441"/>
      <c r="B47" s="441"/>
      <c r="C47" s="441"/>
      <c r="D47" s="441"/>
      <c r="E47" s="129"/>
      <c r="F47" s="130"/>
      <c r="G47" s="130"/>
      <c r="H47" s="130"/>
      <c r="I47" s="130"/>
      <c r="J47" s="130"/>
      <c r="K47" s="130"/>
      <c r="L47" s="130"/>
      <c r="M47" s="130"/>
      <c r="N47" s="130"/>
      <c r="O47" s="130"/>
      <c r="P47" s="130"/>
      <c r="Q47" s="131"/>
    </row>
    <row r="48" spans="1:928" ht="16.5" customHeight="1">
      <c r="A48" s="443" t="s">
        <v>165</v>
      </c>
      <c r="B48" s="443"/>
      <c r="C48" s="443"/>
      <c r="D48" s="443"/>
      <c r="E48" s="101"/>
      <c r="F48" s="101"/>
      <c r="G48" s="101"/>
      <c r="H48" s="101"/>
      <c r="I48" s="101"/>
      <c r="J48" s="101"/>
      <c r="K48" s="101"/>
      <c r="L48" s="101"/>
      <c r="M48" s="101"/>
      <c r="N48" s="101"/>
      <c r="O48" s="101"/>
      <c r="P48" s="101"/>
      <c r="Q48" s="132"/>
    </row>
    <row r="49" spans="1:17" ht="16.5" customHeight="1">
      <c r="A49" s="447" t="s">
        <v>166</v>
      </c>
      <c r="B49" s="447"/>
      <c r="C49" s="447"/>
      <c r="D49" s="447"/>
      <c r="E49" s="101"/>
      <c r="F49" s="101"/>
      <c r="G49" s="101"/>
      <c r="H49" s="101"/>
      <c r="I49" s="101"/>
      <c r="J49" s="101"/>
      <c r="K49" s="101"/>
      <c r="L49" s="101"/>
      <c r="M49" s="101"/>
      <c r="N49" s="101"/>
      <c r="O49" s="101"/>
      <c r="P49" s="101"/>
      <c r="Q49" s="132"/>
    </row>
    <row r="50" spans="1:17" ht="15">
      <c r="A50" s="423" t="s">
        <v>167</v>
      </c>
      <c r="B50" s="423"/>
      <c r="C50" s="423"/>
      <c r="D50" s="423"/>
      <c r="E50" s="105">
        <v>30000</v>
      </c>
      <c r="F50" s="105">
        <v>30000</v>
      </c>
      <c r="G50" s="105">
        <v>30000</v>
      </c>
      <c r="H50" s="105">
        <v>30000</v>
      </c>
      <c r="I50" s="105">
        <v>30000</v>
      </c>
      <c r="J50" s="105">
        <v>30000</v>
      </c>
      <c r="K50" s="105">
        <v>30000</v>
      </c>
      <c r="L50" s="105">
        <v>30000</v>
      </c>
      <c r="M50" s="105">
        <v>30000</v>
      </c>
      <c r="N50" s="105">
        <v>30000</v>
      </c>
      <c r="O50" s="105">
        <v>30000</v>
      </c>
      <c r="P50" s="105">
        <v>30000</v>
      </c>
      <c r="Q50" s="133">
        <f t="shared" ref="Q50:Q60" si="9">SUM(E50:P50)</f>
        <v>360000</v>
      </c>
    </row>
    <row r="51" spans="1:17" ht="15">
      <c r="A51" s="423" t="s">
        <v>168</v>
      </c>
      <c r="B51" s="423"/>
      <c r="C51" s="423"/>
      <c r="D51" s="423"/>
      <c r="E51" s="105"/>
      <c r="F51" s="105"/>
      <c r="G51" s="105"/>
      <c r="H51" s="105"/>
      <c r="I51" s="105"/>
      <c r="J51" s="105"/>
      <c r="K51" s="105"/>
      <c r="L51" s="105"/>
      <c r="M51" s="105"/>
      <c r="N51" s="105"/>
      <c r="O51" s="105"/>
      <c r="P51" s="105"/>
      <c r="Q51" s="133">
        <f t="shared" si="9"/>
        <v>0</v>
      </c>
    </row>
    <row r="52" spans="1:17" ht="15">
      <c r="A52" s="423" t="s">
        <v>342</v>
      </c>
      <c r="B52" s="423"/>
      <c r="C52" s="423"/>
      <c r="D52" s="423"/>
      <c r="E52" s="105">
        <f>E50*0.1*0.8</f>
        <v>2400</v>
      </c>
      <c r="F52" s="105">
        <f>F50*0.1*0.8</f>
        <v>2400</v>
      </c>
      <c r="G52" s="105">
        <f>G50*0.1*0.8</f>
        <v>2400</v>
      </c>
      <c r="H52" s="105">
        <f>H50*0.1*0.8</f>
        <v>2400</v>
      </c>
      <c r="I52" s="105">
        <f>I50*0.1*0.8</f>
        <v>2400</v>
      </c>
      <c r="J52" s="105">
        <f>J50*0.1*0.8</f>
        <v>2400</v>
      </c>
      <c r="K52" s="105">
        <f>K50*0.1*0.8</f>
        <v>2400</v>
      </c>
      <c r="L52" s="105">
        <f>L50*0.1*0.8</f>
        <v>2400</v>
      </c>
      <c r="M52" s="105">
        <f>M50*0.1*0.8</f>
        <v>2400</v>
      </c>
      <c r="N52" s="105">
        <f>N50*0.1*0.8</f>
        <v>2400</v>
      </c>
      <c r="O52" s="105">
        <f>O50*0.1*0.8</f>
        <v>2400</v>
      </c>
      <c r="P52" s="105">
        <f>P50*0.1*0.8</f>
        <v>2400</v>
      </c>
      <c r="Q52" s="133">
        <f t="shared" si="9"/>
        <v>28800</v>
      </c>
    </row>
    <row r="53" spans="1:17" ht="16.5" customHeight="1">
      <c r="A53" s="428" t="s">
        <v>169</v>
      </c>
      <c r="B53" s="428"/>
      <c r="C53" s="428"/>
      <c r="D53" s="428"/>
      <c r="E53" s="120">
        <f>SUM(E50:E52)</f>
        <v>32400</v>
      </c>
      <c r="F53" s="120">
        <f>SUM(F50:F52)</f>
        <v>32400</v>
      </c>
      <c r="G53" s="120">
        <f>SUM(G50:G52)</f>
        <v>32400</v>
      </c>
      <c r="H53" s="120">
        <f>SUM(H50:H52)</f>
        <v>32400</v>
      </c>
      <c r="I53" s="120">
        <f>SUM(I50:I52)</f>
        <v>32400</v>
      </c>
      <c r="J53" s="120">
        <f>SUM(J50:J52)</f>
        <v>32400</v>
      </c>
      <c r="K53" s="120">
        <f>SUM(K50:K52)</f>
        <v>32400</v>
      </c>
      <c r="L53" s="120">
        <f>SUM(L50:L52)</f>
        <v>32400</v>
      </c>
      <c r="M53" s="120">
        <f>SUM(M50:M52)</f>
        <v>32400</v>
      </c>
      <c r="N53" s="120">
        <f>SUM(N50:N52)</f>
        <v>32400</v>
      </c>
      <c r="O53" s="120">
        <f>SUM(O50:O52)</f>
        <v>32400</v>
      </c>
      <c r="P53" s="120">
        <f>SUM(P50:P52)</f>
        <v>32400</v>
      </c>
      <c r="Q53" s="119">
        <f t="shared" si="9"/>
        <v>388800</v>
      </c>
    </row>
    <row r="54" spans="1:17" ht="15">
      <c r="A54" s="423" t="s">
        <v>170</v>
      </c>
      <c r="B54" s="423"/>
      <c r="C54" s="423"/>
      <c r="D54" s="423"/>
      <c r="E54" s="105">
        <v>6000</v>
      </c>
      <c r="F54" s="105">
        <v>6000</v>
      </c>
      <c r="G54" s="105">
        <v>6000</v>
      </c>
      <c r="H54" s="105">
        <v>6000</v>
      </c>
      <c r="I54" s="105">
        <v>6000</v>
      </c>
      <c r="J54" s="105">
        <v>6000</v>
      </c>
      <c r="K54" s="105">
        <v>6000</v>
      </c>
      <c r="L54" s="105">
        <v>6000</v>
      </c>
      <c r="M54" s="105">
        <v>6000</v>
      </c>
      <c r="N54" s="105">
        <v>6000</v>
      </c>
      <c r="O54" s="105">
        <v>6000</v>
      </c>
      <c r="P54" s="105">
        <v>6000</v>
      </c>
      <c r="Q54" s="133">
        <f t="shared" si="9"/>
        <v>72000</v>
      </c>
    </row>
    <row r="55" spans="1:17" ht="15">
      <c r="A55" s="423" t="s">
        <v>171</v>
      </c>
      <c r="B55" s="423"/>
      <c r="C55" s="423"/>
      <c r="D55" s="423"/>
      <c r="E55" s="105">
        <f>'Cal pres plataformas'!CC35+'Cal pres plataformas'!CC38+'Cal pres plataformas'!CC44</f>
        <v>2000</v>
      </c>
      <c r="F55" s="105">
        <f>'Cal pres plataformas'!CD35+'Cal pres plataformas'!CD38+'Cal pres plataformas'!CD44</f>
        <v>2000</v>
      </c>
      <c r="G55" s="105">
        <f>'Cal pres plataformas'!CE35+'Cal pres plataformas'!CE38+'Cal pres plataformas'!CE44</f>
        <v>2000</v>
      </c>
      <c r="H55" s="105">
        <f>'Cal pres plataformas'!CF35+'Cal pres plataformas'!CF38+'Cal pres plataformas'!CF44</f>
        <v>2000</v>
      </c>
      <c r="I55" s="105">
        <f>'Cal pres plataformas'!CG35+'Cal pres plataformas'!CG38+'Cal pres plataformas'!CG44</f>
        <v>2000</v>
      </c>
      <c r="J55" s="105">
        <f>'Cal pres plataformas'!CH35+'Cal pres plataformas'!CH38+'Cal pres plataformas'!CH44</f>
        <v>2000</v>
      </c>
      <c r="K55" s="105">
        <f>'Cal pres plataformas'!CI35+'Cal pres plataformas'!CI38+'Cal pres plataformas'!CI44</f>
        <v>2000</v>
      </c>
      <c r="L55" s="105">
        <f>'Cal pres plataformas'!CJ35+'Cal pres plataformas'!CJ38+'Cal pres plataformas'!CJ44</f>
        <v>2000</v>
      </c>
      <c r="M55" s="105">
        <f>'Cal pres plataformas'!CK35+'Cal pres plataformas'!CK38+'Cal pres plataformas'!CK44</f>
        <v>2000</v>
      </c>
      <c r="N55" s="105">
        <f>'Cal pres plataformas'!CL35+'Cal pres plataformas'!CL38+'Cal pres plataformas'!CL44</f>
        <v>2000</v>
      </c>
      <c r="O55" s="105">
        <f>'Cal pres plataformas'!CM35+'Cal pres plataformas'!CM38+'Cal pres plataformas'!CM44</f>
        <v>2000</v>
      </c>
      <c r="P55" s="105">
        <f>'Cal pres plataformas'!CN35+'Cal pres plataformas'!CN38+'Cal pres plataformas'!CN44</f>
        <v>2000</v>
      </c>
      <c r="Q55" s="133">
        <f t="shared" si="9"/>
        <v>24000</v>
      </c>
    </row>
    <row r="56" spans="1:17" ht="16.5" customHeight="1">
      <c r="A56" s="126" t="s">
        <v>172</v>
      </c>
      <c r="B56" s="127"/>
      <c r="C56" s="127"/>
      <c r="D56" s="127"/>
      <c r="E56" s="105">
        <v>500</v>
      </c>
      <c r="F56" s="105">
        <v>500</v>
      </c>
      <c r="G56" s="105">
        <v>500</v>
      </c>
      <c r="H56" s="105">
        <v>500</v>
      </c>
      <c r="I56" s="105">
        <v>500</v>
      </c>
      <c r="J56" s="105">
        <v>500</v>
      </c>
      <c r="K56" s="105">
        <v>500</v>
      </c>
      <c r="L56" s="105">
        <v>500</v>
      </c>
      <c r="M56" s="105">
        <v>500</v>
      </c>
      <c r="N56" s="105">
        <v>500</v>
      </c>
      <c r="O56" s="105">
        <v>500</v>
      </c>
      <c r="P56" s="105">
        <v>500</v>
      </c>
      <c r="Q56" s="133">
        <f t="shared" si="9"/>
        <v>6000</v>
      </c>
    </row>
    <row r="57" spans="1:17" ht="16.5" customHeight="1">
      <c r="A57" s="423" t="s">
        <v>173</v>
      </c>
      <c r="B57" s="423"/>
      <c r="C57" s="423"/>
      <c r="D57" s="423"/>
      <c r="E57" s="105">
        <v>10000</v>
      </c>
      <c r="F57" s="105">
        <v>10000</v>
      </c>
      <c r="G57" s="105">
        <v>10000</v>
      </c>
      <c r="H57" s="105">
        <v>10000</v>
      </c>
      <c r="I57" s="105">
        <v>10000</v>
      </c>
      <c r="J57" s="105">
        <v>10000</v>
      </c>
      <c r="K57" s="105">
        <v>10000</v>
      </c>
      <c r="L57" s="105">
        <v>10000</v>
      </c>
      <c r="M57" s="105">
        <v>10000</v>
      </c>
      <c r="N57" s="105">
        <v>10000</v>
      </c>
      <c r="O57" s="105">
        <v>10000</v>
      </c>
      <c r="P57" s="105">
        <v>10000</v>
      </c>
      <c r="Q57" s="133">
        <f t="shared" si="9"/>
        <v>120000</v>
      </c>
    </row>
    <row r="58" spans="1:17" ht="16.5" customHeight="1">
      <c r="A58" s="423" t="s">
        <v>174</v>
      </c>
      <c r="B58" s="423"/>
      <c r="C58" s="423"/>
      <c r="D58" s="423"/>
      <c r="E58" s="105"/>
      <c r="F58" s="105"/>
      <c r="G58" s="105"/>
      <c r="H58" s="105"/>
      <c r="I58" s="105"/>
      <c r="J58" s="105"/>
      <c r="K58" s="105"/>
      <c r="L58" s="105"/>
      <c r="M58" s="105"/>
      <c r="N58" s="105"/>
      <c r="O58" s="105"/>
      <c r="P58" s="105"/>
      <c r="Q58" s="133">
        <f t="shared" si="9"/>
        <v>0</v>
      </c>
    </row>
    <row r="59" spans="1:17" ht="16.5" customHeight="1">
      <c r="A59" s="423" t="s">
        <v>175</v>
      </c>
      <c r="B59" s="423"/>
      <c r="C59" s="423"/>
      <c r="D59" s="423"/>
      <c r="E59" s="105"/>
      <c r="F59" s="105"/>
      <c r="G59" s="105"/>
      <c r="H59" s="105"/>
      <c r="I59" s="105"/>
      <c r="J59" s="105"/>
      <c r="K59" s="105"/>
      <c r="L59" s="105"/>
      <c r="M59" s="105"/>
      <c r="N59" s="105"/>
      <c r="O59" s="105"/>
      <c r="P59" s="105"/>
      <c r="Q59" s="133">
        <f t="shared" si="9"/>
        <v>0</v>
      </c>
    </row>
    <row r="60" spans="1:17" ht="16.5" customHeight="1">
      <c r="A60" s="423" t="s">
        <v>176</v>
      </c>
      <c r="B60" s="423"/>
      <c r="C60" s="423"/>
      <c r="D60" s="423"/>
      <c r="E60" s="105"/>
      <c r="F60" s="105"/>
      <c r="G60" s="105"/>
      <c r="H60" s="105"/>
      <c r="I60" s="105"/>
      <c r="J60" s="105"/>
      <c r="K60" s="105"/>
      <c r="L60" s="105"/>
      <c r="M60" s="105"/>
      <c r="N60" s="105"/>
      <c r="O60" s="105"/>
      <c r="P60" s="105"/>
      <c r="Q60" s="133">
        <f t="shared" si="9"/>
        <v>0</v>
      </c>
    </row>
    <row r="61" spans="1:17" ht="16.5" customHeight="1">
      <c r="A61" s="427"/>
      <c r="B61" s="427"/>
      <c r="C61" s="427"/>
      <c r="D61" s="427"/>
      <c r="E61" s="101"/>
      <c r="F61" s="101"/>
      <c r="G61" s="101"/>
      <c r="H61" s="101"/>
      <c r="I61" s="101"/>
      <c r="J61" s="101"/>
      <c r="K61" s="101"/>
      <c r="L61" s="101"/>
      <c r="M61" s="101"/>
      <c r="N61" s="101"/>
      <c r="O61" s="101"/>
      <c r="P61" s="101"/>
      <c r="Q61" s="132"/>
    </row>
    <row r="62" spans="1:17" ht="16.5" customHeight="1">
      <c r="A62" s="434" t="s">
        <v>344</v>
      </c>
      <c r="B62" s="434"/>
      <c r="C62" s="434"/>
      <c r="D62" s="435"/>
      <c r="E62" s="120">
        <f>SUM(E54:E60)</f>
        <v>18500</v>
      </c>
      <c r="F62" s="120">
        <f t="shared" ref="F62:P62" si="10">SUM(F54:F60)</f>
        <v>18500</v>
      </c>
      <c r="G62" s="120">
        <f t="shared" si="10"/>
        <v>18500</v>
      </c>
      <c r="H62" s="120">
        <f t="shared" si="10"/>
        <v>18500</v>
      </c>
      <c r="I62" s="120">
        <f t="shared" si="10"/>
        <v>18500</v>
      </c>
      <c r="J62" s="120">
        <f t="shared" si="10"/>
        <v>18500</v>
      </c>
      <c r="K62" s="120">
        <f t="shared" si="10"/>
        <v>18500</v>
      </c>
      <c r="L62" s="120">
        <f t="shared" si="10"/>
        <v>18500</v>
      </c>
      <c r="M62" s="120">
        <f t="shared" si="10"/>
        <v>18500</v>
      </c>
      <c r="N62" s="120">
        <f t="shared" si="10"/>
        <v>18500</v>
      </c>
      <c r="O62" s="120">
        <f t="shared" si="10"/>
        <v>18500</v>
      </c>
      <c r="P62" s="120">
        <f t="shared" si="10"/>
        <v>18500</v>
      </c>
      <c r="Q62" s="119">
        <f>SUM(E62:P62)</f>
        <v>222000</v>
      </c>
    </row>
    <row r="63" spans="1:17" ht="16.5" customHeight="1">
      <c r="A63" s="66"/>
      <c r="B63" s="66"/>
      <c r="C63" s="66"/>
      <c r="D63" s="66"/>
      <c r="E63" s="66"/>
      <c r="F63" s="66"/>
      <c r="G63" s="66"/>
      <c r="H63" s="66"/>
      <c r="I63" s="66"/>
      <c r="J63" s="66"/>
      <c r="K63" s="66"/>
      <c r="L63" s="66"/>
      <c r="M63" s="66"/>
      <c r="N63" s="66"/>
      <c r="O63" s="66"/>
      <c r="P63" s="66"/>
      <c r="Q63" s="66"/>
    </row>
    <row r="64" spans="1:17" s="44" customFormat="1" ht="18" customHeight="1">
      <c r="A64" s="436" t="s">
        <v>177</v>
      </c>
      <c r="B64" s="436"/>
      <c r="C64" s="436"/>
      <c r="D64" s="436"/>
      <c r="E64" s="134">
        <f>E62+E53</f>
        <v>50900</v>
      </c>
      <c r="F64" s="134">
        <f t="shared" ref="F64:P64" si="11">F62+F53</f>
        <v>50900</v>
      </c>
      <c r="G64" s="134">
        <f t="shared" si="11"/>
        <v>50900</v>
      </c>
      <c r="H64" s="134">
        <f t="shared" si="11"/>
        <v>50900</v>
      </c>
      <c r="I64" s="134">
        <f t="shared" si="11"/>
        <v>50900</v>
      </c>
      <c r="J64" s="134">
        <f t="shared" si="11"/>
        <v>50900</v>
      </c>
      <c r="K64" s="134">
        <f t="shared" si="11"/>
        <v>50900</v>
      </c>
      <c r="L64" s="134">
        <f t="shared" si="11"/>
        <v>50900</v>
      </c>
      <c r="M64" s="134">
        <f t="shared" si="11"/>
        <v>50900</v>
      </c>
      <c r="N64" s="134">
        <f t="shared" si="11"/>
        <v>50900</v>
      </c>
      <c r="O64" s="134">
        <f t="shared" si="11"/>
        <v>50900</v>
      </c>
      <c r="P64" s="134">
        <f t="shared" si="11"/>
        <v>50900</v>
      </c>
      <c r="Q64" s="135">
        <f>SUM(E64:P64)</f>
        <v>610800</v>
      </c>
    </row>
    <row r="65" spans="1:928" s="459" customFormat="1" ht="18">
      <c r="A65" s="456"/>
      <c r="B65" s="456"/>
      <c r="C65" s="456"/>
      <c r="D65" s="456"/>
      <c r="E65" s="457"/>
      <c r="F65" s="457"/>
      <c r="G65" s="457"/>
      <c r="H65" s="457"/>
      <c r="I65" s="457"/>
      <c r="J65" s="457"/>
      <c r="K65" s="457"/>
      <c r="L65" s="457"/>
      <c r="M65" s="457"/>
      <c r="N65" s="457"/>
      <c r="O65" s="457"/>
      <c r="P65" s="457"/>
      <c r="Q65" s="458"/>
    </row>
    <row r="66" spans="1:928" ht="16.5" customHeight="1">
      <c r="A66" s="447" t="s">
        <v>178</v>
      </c>
      <c r="B66" s="447"/>
      <c r="C66" s="447"/>
      <c r="D66" s="447"/>
      <c r="E66" s="101"/>
      <c r="F66" s="101"/>
      <c r="G66" s="101"/>
      <c r="H66" s="101"/>
      <c r="I66" s="101"/>
      <c r="J66" s="101"/>
      <c r="K66" s="101"/>
      <c r="L66" s="101"/>
      <c r="M66" s="101"/>
      <c r="N66" s="101"/>
      <c r="O66" s="101"/>
      <c r="P66" s="101"/>
      <c r="Q66" s="132"/>
    </row>
    <row r="67" spans="1:928" ht="16.5" customHeight="1">
      <c r="A67" s="425" t="s">
        <v>179</v>
      </c>
      <c r="B67" s="425"/>
      <c r="C67" s="425"/>
      <c r="D67" s="425"/>
      <c r="E67" s="105"/>
      <c r="F67" s="105"/>
      <c r="G67" s="105"/>
      <c r="H67" s="105"/>
      <c r="I67" s="105"/>
      <c r="J67" s="105"/>
      <c r="K67" s="105"/>
      <c r="L67" s="105"/>
      <c r="M67" s="105"/>
      <c r="N67" s="105"/>
      <c r="O67" s="105"/>
      <c r="P67" s="105"/>
      <c r="Q67" s="133">
        <f t="shared" ref="Q67" si="12">SUM(E67:P67)</f>
        <v>0</v>
      </c>
    </row>
    <row r="68" spans="1:928" s="44" customFormat="1" ht="18" customHeight="1">
      <c r="A68" s="436" t="s">
        <v>180</v>
      </c>
      <c r="B68" s="436"/>
      <c r="C68" s="436"/>
      <c r="D68" s="436"/>
      <c r="E68" s="134">
        <f>SUM(E67:E67)</f>
        <v>0</v>
      </c>
      <c r="F68" s="134">
        <f>SUM(F67:F67)</f>
        <v>0</v>
      </c>
      <c r="G68" s="134">
        <f>SUM(G67:G67)</f>
        <v>0</v>
      </c>
      <c r="H68" s="134">
        <f>SUM(H67:H67)</f>
        <v>0</v>
      </c>
      <c r="I68" s="134">
        <f>SUM(I67:I67)</f>
        <v>0</v>
      </c>
      <c r="J68" s="134">
        <f>SUM(J67:J67)</f>
        <v>0</v>
      </c>
      <c r="K68" s="134">
        <f>SUM(K67:K67)</f>
        <v>0</v>
      </c>
      <c r="L68" s="134">
        <f>SUM(L67:L67)</f>
        <v>0</v>
      </c>
      <c r="M68" s="134">
        <f>SUM(M67:M67)</f>
        <v>0</v>
      </c>
      <c r="N68" s="134">
        <f>SUM(N67:N67)</f>
        <v>0</v>
      </c>
      <c r="O68" s="134">
        <f>SUM(O67:O67)</f>
        <v>0</v>
      </c>
      <c r="P68" s="134">
        <f>SUM(P67:P67)</f>
        <v>0</v>
      </c>
      <c r="Q68" s="135">
        <f>SUM(E68:P68)</f>
        <v>0</v>
      </c>
    </row>
    <row r="69" spans="1:928" s="44" customFormat="1" ht="18">
      <c r="A69" s="452"/>
      <c r="B69" s="453"/>
      <c r="C69" s="453"/>
      <c r="D69" s="453"/>
      <c r="E69" s="454"/>
      <c r="F69" s="454"/>
      <c r="G69" s="454"/>
      <c r="H69" s="454"/>
      <c r="I69" s="454"/>
      <c r="J69" s="454"/>
      <c r="K69" s="454"/>
      <c r="L69" s="454"/>
      <c r="M69" s="454"/>
      <c r="N69" s="454"/>
      <c r="O69" s="454"/>
      <c r="P69" s="454"/>
      <c r="Q69" s="455"/>
    </row>
    <row r="70" spans="1:928" ht="16.5" customHeight="1">
      <c r="A70" s="444"/>
      <c r="B70" s="445"/>
      <c r="C70" s="445"/>
      <c r="D70" s="445"/>
      <c r="E70" s="115"/>
      <c r="F70" s="115"/>
      <c r="G70" s="115"/>
      <c r="H70" s="115"/>
      <c r="I70" s="115"/>
      <c r="J70" s="115"/>
      <c r="K70" s="115"/>
      <c r="L70" s="115"/>
      <c r="M70" s="115"/>
      <c r="N70" s="115"/>
      <c r="O70" s="115"/>
      <c r="P70" s="115"/>
      <c r="Q70" s="136"/>
    </row>
    <row r="71" spans="1:928" ht="16.5" customHeight="1">
      <c r="A71" s="443" t="s">
        <v>181</v>
      </c>
      <c r="B71" s="443"/>
      <c r="C71" s="443"/>
      <c r="D71" s="443"/>
      <c r="E71" s="101"/>
      <c r="F71" s="101"/>
      <c r="G71" s="101"/>
      <c r="H71" s="101"/>
      <c r="I71" s="101"/>
      <c r="J71" s="101"/>
      <c r="K71" s="101"/>
      <c r="L71" s="101"/>
      <c r="M71" s="101"/>
      <c r="N71" s="101"/>
      <c r="O71" s="101"/>
      <c r="P71" s="101"/>
      <c r="Q71" s="117"/>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66"/>
      <c r="AS71" s="66"/>
      <c r="AT71" s="66"/>
      <c r="AU71" s="66"/>
      <c r="AV71" s="66"/>
      <c r="AW71" s="66"/>
      <c r="AX71" s="66"/>
      <c r="AY71" s="66"/>
      <c r="AZ71" s="66"/>
      <c r="BA71" s="66"/>
      <c r="BB71" s="66"/>
      <c r="BC71" s="66"/>
      <c r="BD71" s="66"/>
      <c r="BE71" s="66"/>
      <c r="BF71" s="66"/>
      <c r="BG71" s="66"/>
      <c r="BH71" s="66"/>
      <c r="BI71" s="66"/>
      <c r="BJ71" s="66"/>
      <c r="BK71" s="66"/>
      <c r="BL71" s="66"/>
      <c r="BM71" s="66"/>
      <c r="BN71" s="66"/>
      <c r="BO71" s="66"/>
      <c r="BP71" s="66"/>
      <c r="BQ71" s="66"/>
      <c r="BR71" s="66"/>
      <c r="BS71" s="66"/>
      <c r="BT71" s="66"/>
      <c r="BU71" s="66"/>
      <c r="BV71" s="66"/>
      <c r="BW71" s="66"/>
      <c r="BX71" s="66"/>
      <c r="BY71" s="66"/>
      <c r="BZ71" s="66"/>
      <c r="CA71" s="66"/>
      <c r="CB71" s="66"/>
      <c r="CC71" s="66"/>
      <c r="CD71" s="66"/>
      <c r="CE71" s="66"/>
      <c r="CF71" s="66"/>
      <c r="CG71" s="66"/>
      <c r="CH71" s="66"/>
      <c r="CI71" s="66"/>
      <c r="CJ71" s="66"/>
      <c r="CK71" s="66"/>
      <c r="CL71" s="66"/>
      <c r="CM71" s="66"/>
      <c r="CN71" s="66"/>
      <c r="CO71" s="66"/>
      <c r="CP71" s="66"/>
      <c r="CQ71" s="66"/>
      <c r="CR71" s="66"/>
      <c r="CS71" s="66"/>
      <c r="CT71" s="66"/>
      <c r="CU71" s="66"/>
      <c r="CV71" s="66"/>
      <c r="CW71" s="66"/>
      <c r="CX71" s="66"/>
      <c r="CY71" s="66"/>
      <c r="CZ71" s="66"/>
      <c r="DA71" s="66"/>
      <c r="DB71" s="66"/>
      <c r="DC71" s="66"/>
      <c r="DD71" s="66"/>
      <c r="DE71" s="66"/>
      <c r="DF71" s="66"/>
      <c r="DG71" s="66"/>
      <c r="DH71" s="66"/>
      <c r="DI71" s="66"/>
      <c r="DJ71" s="66"/>
      <c r="DK71" s="66"/>
      <c r="DL71" s="66"/>
      <c r="DM71" s="66"/>
      <c r="DN71" s="66"/>
      <c r="DO71" s="66"/>
      <c r="DP71" s="66"/>
      <c r="DQ71" s="66"/>
      <c r="DR71" s="66"/>
      <c r="DS71" s="66"/>
      <c r="DT71" s="66"/>
      <c r="DU71" s="66"/>
      <c r="DV71" s="66"/>
      <c r="DW71" s="66"/>
      <c r="DX71" s="66"/>
      <c r="DY71" s="66"/>
      <c r="DZ71" s="66"/>
      <c r="EA71" s="66"/>
      <c r="EB71" s="66"/>
      <c r="EC71" s="66"/>
      <c r="ED71" s="66"/>
      <c r="EE71" s="66"/>
      <c r="EF71" s="66"/>
      <c r="EG71" s="66"/>
      <c r="EH71" s="66"/>
      <c r="EI71" s="66"/>
      <c r="EJ71" s="66"/>
      <c r="EK71" s="66"/>
      <c r="EL71" s="66"/>
      <c r="EM71" s="66"/>
      <c r="EN71" s="66"/>
      <c r="EO71" s="66"/>
      <c r="EP71" s="66"/>
      <c r="EQ71" s="66"/>
      <c r="ER71" s="66"/>
      <c r="ES71" s="66"/>
      <c r="ET71" s="66"/>
      <c r="EU71" s="66"/>
      <c r="EV71" s="66"/>
      <c r="EW71" s="66"/>
      <c r="EX71" s="66"/>
      <c r="EY71" s="66"/>
      <c r="EZ71" s="66"/>
      <c r="FA71" s="66"/>
      <c r="FB71" s="66"/>
      <c r="FC71" s="66"/>
      <c r="FD71" s="66"/>
      <c r="FE71" s="66"/>
      <c r="FF71" s="66"/>
      <c r="FG71" s="66"/>
      <c r="FH71" s="66"/>
      <c r="FI71" s="66"/>
      <c r="FJ71" s="66"/>
      <c r="FK71" s="66"/>
      <c r="FL71" s="66"/>
      <c r="FM71" s="66"/>
      <c r="FN71" s="66"/>
      <c r="FO71" s="66"/>
      <c r="FP71" s="66"/>
      <c r="FQ71" s="66"/>
      <c r="FR71" s="66"/>
      <c r="FS71" s="66"/>
      <c r="FT71" s="66"/>
      <c r="FU71" s="66"/>
      <c r="FV71" s="66"/>
      <c r="FW71" s="66"/>
      <c r="FX71" s="66"/>
      <c r="FY71" s="66"/>
      <c r="FZ71" s="66"/>
      <c r="GA71" s="66"/>
      <c r="GB71" s="66"/>
      <c r="GC71" s="66"/>
      <c r="GD71" s="66"/>
      <c r="GE71" s="66"/>
      <c r="GF71" s="66"/>
      <c r="GG71" s="66"/>
      <c r="GH71" s="66"/>
      <c r="GI71" s="66"/>
      <c r="GJ71" s="66"/>
      <c r="GK71" s="66"/>
      <c r="GL71" s="66"/>
      <c r="GM71" s="66"/>
      <c r="GN71" s="66"/>
      <c r="GO71" s="66"/>
      <c r="GP71" s="66"/>
      <c r="GQ71" s="66"/>
      <c r="GR71" s="66"/>
      <c r="GS71" s="66"/>
      <c r="GT71" s="66"/>
      <c r="GU71" s="66"/>
      <c r="GV71" s="66"/>
      <c r="GW71" s="66"/>
      <c r="GX71" s="66"/>
      <c r="GY71" s="66"/>
      <c r="GZ71" s="66"/>
      <c r="HA71" s="66"/>
      <c r="HB71" s="66"/>
      <c r="HC71" s="66"/>
      <c r="HD71" s="66"/>
      <c r="HE71" s="66"/>
      <c r="HF71" s="66"/>
      <c r="HG71" s="66"/>
      <c r="HH71" s="66"/>
      <c r="HI71" s="66"/>
      <c r="HJ71" s="66"/>
      <c r="HK71" s="66"/>
      <c r="HL71" s="66"/>
      <c r="HM71" s="66"/>
      <c r="HN71" s="66"/>
      <c r="HO71" s="66"/>
      <c r="HP71" s="66"/>
      <c r="HQ71" s="66"/>
      <c r="HR71" s="66"/>
      <c r="HS71" s="66"/>
      <c r="HT71" s="66"/>
      <c r="HU71" s="66"/>
      <c r="HV71" s="66"/>
      <c r="HW71" s="66"/>
      <c r="HX71" s="66"/>
      <c r="HY71" s="66"/>
      <c r="HZ71" s="66"/>
      <c r="IA71" s="66"/>
      <c r="IB71" s="66"/>
      <c r="IC71" s="66"/>
      <c r="ID71" s="66"/>
      <c r="IE71" s="66"/>
      <c r="IF71" s="66"/>
      <c r="IG71" s="66"/>
      <c r="IH71" s="66"/>
      <c r="II71" s="66"/>
      <c r="IJ71" s="66"/>
      <c r="IK71" s="66"/>
      <c r="IL71" s="66"/>
      <c r="IM71" s="66"/>
      <c r="IN71" s="66"/>
      <c r="IO71" s="66"/>
      <c r="IP71" s="66"/>
      <c r="IQ71" s="66"/>
      <c r="IR71" s="66"/>
      <c r="IS71" s="66"/>
      <c r="IT71" s="66"/>
      <c r="IU71" s="66"/>
      <c r="IV71" s="66"/>
      <c r="IW71" s="66"/>
      <c r="IX71" s="66"/>
      <c r="IY71" s="66"/>
      <c r="IZ71" s="66"/>
      <c r="JA71" s="66"/>
      <c r="JB71" s="66"/>
      <c r="JC71" s="66"/>
      <c r="JD71" s="66"/>
      <c r="JE71" s="66"/>
      <c r="JF71" s="66"/>
      <c r="JG71" s="66"/>
      <c r="JH71" s="66"/>
      <c r="JI71" s="66"/>
      <c r="JJ71" s="66"/>
      <c r="JK71" s="66"/>
      <c r="JL71" s="66"/>
      <c r="JM71" s="66"/>
      <c r="JN71" s="66"/>
      <c r="JO71" s="66"/>
      <c r="JP71" s="66"/>
      <c r="JQ71" s="66"/>
      <c r="JR71" s="66"/>
      <c r="JS71" s="66"/>
      <c r="JT71" s="66"/>
      <c r="JU71" s="66"/>
      <c r="JV71" s="66"/>
      <c r="JW71" s="66"/>
      <c r="JX71" s="66"/>
      <c r="JY71" s="66"/>
      <c r="JZ71" s="66"/>
      <c r="KA71" s="66"/>
      <c r="KB71" s="66"/>
      <c r="KC71" s="66"/>
      <c r="KD71" s="66"/>
      <c r="KE71" s="66"/>
      <c r="KF71" s="66"/>
      <c r="KG71" s="66"/>
      <c r="KH71" s="66"/>
      <c r="KI71" s="66"/>
      <c r="KJ71" s="66"/>
      <c r="KK71" s="66"/>
      <c r="KL71" s="66"/>
      <c r="KM71" s="66"/>
      <c r="KN71" s="66"/>
      <c r="KO71" s="66"/>
      <c r="KP71" s="66"/>
      <c r="KQ71" s="66"/>
      <c r="KR71" s="66"/>
      <c r="KS71" s="66"/>
      <c r="KT71" s="66"/>
      <c r="KU71" s="66"/>
      <c r="KV71" s="66"/>
      <c r="KW71" s="66"/>
      <c r="KX71" s="66"/>
      <c r="KY71" s="66"/>
      <c r="KZ71" s="66"/>
      <c r="LA71" s="66"/>
      <c r="LB71" s="66"/>
      <c r="LC71" s="66"/>
      <c r="LD71" s="66"/>
      <c r="LE71" s="66"/>
      <c r="LF71" s="66"/>
      <c r="LG71" s="66"/>
      <c r="LH71" s="66"/>
      <c r="LI71" s="66"/>
      <c r="LJ71" s="66"/>
      <c r="LK71" s="66"/>
      <c r="LL71" s="66"/>
      <c r="LM71" s="66"/>
      <c r="LN71" s="66"/>
      <c r="LO71" s="66"/>
      <c r="LP71" s="66"/>
      <c r="LQ71" s="66"/>
      <c r="LR71" s="66"/>
      <c r="LS71" s="66"/>
      <c r="LT71" s="66"/>
      <c r="LU71" s="66"/>
      <c r="LV71" s="66"/>
      <c r="LW71" s="66"/>
      <c r="LX71" s="66"/>
      <c r="LY71" s="66"/>
      <c r="LZ71" s="66"/>
      <c r="MA71" s="66"/>
      <c r="MB71" s="66"/>
      <c r="MC71" s="66"/>
      <c r="MD71" s="66"/>
      <c r="ME71" s="66"/>
      <c r="MF71" s="66"/>
      <c r="MG71" s="66"/>
      <c r="MH71" s="66"/>
      <c r="MI71" s="66"/>
      <c r="MJ71" s="66"/>
      <c r="MK71" s="66"/>
      <c r="ML71" s="66"/>
      <c r="MM71" s="66"/>
      <c r="MN71" s="66"/>
      <c r="MO71" s="66"/>
      <c r="MP71" s="66"/>
      <c r="MQ71" s="66"/>
      <c r="MR71" s="66"/>
      <c r="MS71" s="66"/>
      <c r="MT71" s="66"/>
      <c r="MU71" s="66"/>
      <c r="MV71" s="66"/>
      <c r="MW71" s="66"/>
      <c r="MX71" s="66"/>
      <c r="MY71" s="66"/>
      <c r="MZ71" s="66"/>
      <c r="NA71" s="66"/>
      <c r="NB71" s="66"/>
      <c r="NC71" s="66"/>
      <c r="ND71" s="66"/>
      <c r="NE71" s="66"/>
      <c r="NF71" s="66"/>
      <c r="NG71" s="66"/>
      <c r="NH71" s="66"/>
      <c r="NI71" s="66"/>
      <c r="NJ71" s="66"/>
      <c r="NK71" s="66"/>
      <c r="NL71" s="66"/>
      <c r="NM71" s="66"/>
      <c r="NN71" s="66"/>
      <c r="NO71" s="66"/>
      <c r="NP71" s="66"/>
      <c r="NQ71" s="66"/>
      <c r="NR71" s="66"/>
      <c r="NS71" s="66"/>
      <c r="NT71" s="66"/>
      <c r="NU71" s="66"/>
      <c r="NV71" s="66"/>
      <c r="NW71" s="66"/>
      <c r="NX71" s="66"/>
      <c r="NY71" s="66"/>
      <c r="NZ71" s="66"/>
      <c r="OA71" s="66"/>
      <c r="OB71" s="66"/>
      <c r="OC71" s="66"/>
      <c r="OD71" s="66"/>
      <c r="OE71" s="66"/>
      <c r="OF71" s="66"/>
      <c r="OG71" s="66"/>
      <c r="OH71" s="66"/>
      <c r="OI71" s="66"/>
      <c r="OJ71" s="66"/>
      <c r="OK71" s="66"/>
      <c r="OL71" s="66"/>
      <c r="OM71" s="66"/>
      <c r="ON71" s="66"/>
      <c r="OO71" s="66"/>
      <c r="OP71" s="66"/>
      <c r="OQ71" s="66"/>
      <c r="OR71" s="66"/>
      <c r="OS71" s="66"/>
      <c r="OT71" s="66"/>
      <c r="OU71" s="66"/>
      <c r="OV71" s="66"/>
      <c r="OW71" s="66"/>
      <c r="OX71" s="66"/>
      <c r="OY71" s="66"/>
      <c r="OZ71" s="66"/>
      <c r="PA71" s="66"/>
      <c r="PB71" s="66"/>
      <c r="PC71" s="66"/>
      <c r="PD71" s="66"/>
      <c r="PE71" s="66"/>
      <c r="PF71" s="66"/>
      <c r="PG71" s="66"/>
      <c r="PH71" s="66"/>
      <c r="PI71" s="66"/>
      <c r="PJ71" s="66"/>
      <c r="PK71" s="66"/>
      <c r="PL71" s="66"/>
      <c r="PM71" s="66"/>
      <c r="PN71" s="66"/>
      <c r="PO71" s="66"/>
      <c r="PP71" s="66"/>
      <c r="PQ71" s="66"/>
      <c r="PR71" s="66"/>
      <c r="PS71" s="66"/>
      <c r="PT71" s="66"/>
      <c r="PU71" s="66"/>
      <c r="PV71" s="66"/>
      <c r="PW71" s="66"/>
      <c r="PX71" s="66"/>
      <c r="PY71" s="66"/>
      <c r="PZ71" s="66"/>
      <c r="QA71" s="66"/>
      <c r="QB71" s="66"/>
      <c r="QC71" s="66"/>
      <c r="QD71" s="66"/>
      <c r="QE71" s="66"/>
      <c r="QF71" s="66"/>
      <c r="QG71" s="66"/>
      <c r="QH71" s="66"/>
      <c r="QI71" s="66"/>
      <c r="QJ71" s="66"/>
      <c r="QK71" s="66"/>
      <c r="QL71" s="66"/>
      <c r="QM71" s="66"/>
      <c r="QN71" s="66"/>
      <c r="QO71" s="66"/>
      <c r="QP71" s="66"/>
      <c r="QQ71" s="66"/>
      <c r="QR71" s="66"/>
      <c r="QS71" s="66"/>
      <c r="QT71" s="66"/>
      <c r="QU71" s="66"/>
      <c r="QV71" s="66"/>
      <c r="QW71" s="66"/>
      <c r="QX71" s="66"/>
      <c r="QY71" s="66"/>
      <c r="QZ71" s="66"/>
      <c r="RA71" s="66"/>
      <c r="RB71" s="66"/>
      <c r="RC71" s="66"/>
      <c r="RD71" s="66"/>
      <c r="RE71" s="66"/>
      <c r="RF71" s="66"/>
      <c r="RG71" s="66"/>
      <c r="RH71" s="66"/>
      <c r="RI71" s="66"/>
      <c r="RJ71" s="66"/>
      <c r="RK71" s="66"/>
      <c r="RL71" s="66"/>
      <c r="RM71" s="66"/>
      <c r="RN71" s="66"/>
      <c r="RO71" s="66"/>
      <c r="RP71" s="66"/>
      <c r="RQ71" s="66"/>
      <c r="RR71" s="66"/>
      <c r="RS71" s="66"/>
      <c r="RT71" s="66"/>
      <c r="RU71" s="66"/>
      <c r="RV71" s="66"/>
      <c r="RW71" s="66"/>
      <c r="RX71" s="66"/>
      <c r="RY71" s="66"/>
      <c r="RZ71" s="66"/>
      <c r="SA71" s="66"/>
      <c r="SB71" s="66"/>
      <c r="SC71" s="66"/>
      <c r="SD71" s="66"/>
      <c r="SE71" s="66"/>
      <c r="SF71" s="66"/>
      <c r="SG71" s="66"/>
      <c r="SH71" s="66"/>
      <c r="SI71" s="66"/>
      <c r="SJ71" s="66"/>
      <c r="SK71" s="66"/>
      <c r="SL71" s="66"/>
      <c r="SM71" s="66"/>
      <c r="SN71" s="66"/>
      <c r="SO71" s="66"/>
      <c r="SP71" s="66"/>
      <c r="SQ71" s="66"/>
      <c r="SR71" s="66"/>
      <c r="SS71" s="66"/>
      <c r="ST71" s="66"/>
      <c r="SU71" s="66"/>
      <c r="SV71" s="66"/>
      <c r="SW71" s="66"/>
      <c r="SX71" s="66"/>
      <c r="SY71" s="66"/>
      <c r="SZ71" s="66"/>
      <c r="TA71" s="66"/>
      <c r="TB71" s="66"/>
      <c r="TC71" s="66"/>
      <c r="TD71" s="66"/>
      <c r="TE71" s="66"/>
      <c r="TF71" s="66"/>
      <c r="TG71" s="66"/>
      <c r="TH71" s="66"/>
      <c r="TI71" s="66"/>
      <c r="TJ71" s="66"/>
      <c r="TK71" s="66"/>
      <c r="TL71" s="66"/>
      <c r="TM71" s="66"/>
      <c r="TN71" s="66"/>
      <c r="TO71" s="66"/>
      <c r="TP71" s="66"/>
      <c r="TQ71" s="66"/>
      <c r="TR71" s="66"/>
      <c r="TS71" s="66"/>
      <c r="TT71" s="66"/>
      <c r="TU71" s="66"/>
      <c r="TV71" s="66"/>
      <c r="TW71" s="66"/>
      <c r="TX71" s="66"/>
      <c r="TY71" s="66"/>
      <c r="TZ71" s="66"/>
      <c r="UA71" s="66"/>
      <c r="UB71" s="66"/>
      <c r="UC71" s="66"/>
      <c r="UD71" s="66"/>
      <c r="UE71" s="66"/>
      <c r="UF71" s="66"/>
      <c r="UG71" s="66"/>
      <c r="UH71" s="66"/>
      <c r="UI71" s="66"/>
      <c r="UJ71" s="66"/>
      <c r="UK71" s="66"/>
      <c r="UL71" s="66"/>
      <c r="UM71" s="66"/>
      <c r="UN71" s="66"/>
      <c r="UO71" s="66"/>
      <c r="UP71" s="66"/>
      <c r="UQ71" s="66"/>
      <c r="UR71" s="66"/>
      <c r="US71" s="66"/>
      <c r="UT71" s="66"/>
      <c r="UU71" s="66"/>
      <c r="UV71" s="66"/>
      <c r="UW71" s="66"/>
      <c r="UX71" s="66"/>
      <c r="UY71" s="66"/>
      <c r="UZ71" s="66"/>
      <c r="VA71" s="66"/>
      <c r="VB71" s="66"/>
      <c r="VC71" s="66"/>
      <c r="VD71" s="66"/>
      <c r="VE71" s="66"/>
      <c r="VF71" s="66"/>
      <c r="VG71" s="66"/>
      <c r="VH71" s="66"/>
      <c r="VI71" s="66"/>
      <c r="VJ71" s="66"/>
      <c r="VK71" s="66"/>
      <c r="VL71" s="66"/>
      <c r="VM71" s="66"/>
      <c r="VN71" s="66"/>
      <c r="VO71" s="66"/>
      <c r="VP71" s="66"/>
      <c r="VQ71" s="66"/>
      <c r="VR71" s="66"/>
      <c r="VS71" s="66"/>
      <c r="VT71" s="66"/>
      <c r="VU71" s="66"/>
      <c r="VV71" s="66"/>
      <c r="VW71" s="66"/>
      <c r="VX71" s="66"/>
      <c r="VY71" s="66"/>
      <c r="VZ71" s="66"/>
      <c r="WA71" s="66"/>
      <c r="WB71" s="66"/>
      <c r="WC71" s="66"/>
      <c r="WD71" s="66"/>
      <c r="WE71" s="66"/>
      <c r="WF71" s="66"/>
      <c r="WG71" s="66"/>
      <c r="WH71" s="66"/>
      <c r="WI71" s="66"/>
      <c r="WJ71" s="66"/>
      <c r="WK71" s="66"/>
      <c r="WL71" s="66"/>
      <c r="WM71" s="66"/>
      <c r="WN71" s="66"/>
      <c r="WO71" s="66"/>
      <c r="WP71" s="66"/>
      <c r="WQ71" s="66"/>
      <c r="WR71" s="66"/>
      <c r="WS71" s="66"/>
      <c r="WT71" s="66"/>
      <c r="WU71" s="66"/>
      <c r="WV71" s="66"/>
      <c r="WW71" s="66"/>
      <c r="WX71" s="66"/>
      <c r="WY71" s="66"/>
      <c r="WZ71" s="66"/>
      <c r="XA71" s="66"/>
      <c r="XB71" s="66"/>
      <c r="XC71" s="66"/>
      <c r="XD71" s="66"/>
      <c r="XE71" s="66"/>
      <c r="XF71" s="66"/>
      <c r="XG71" s="66"/>
      <c r="XH71" s="66"/>
      <c r="XI71" s="66"/>
      <c r="XJ71" s="66"/>
      <c r="XK71" s="66"/>
      <c r="XL71" s="66"/>
      <c r="XM71" s="66"/>
      <c r="XN71" s="66"/>
      <c r="XO71" s="66"/>
      <c r="XP71" s="66"/>
      <c r="XQ71" s="66"/>
      <c r="XR71" s="66"/>
      <c r="XS71" s="66"/>
      <c r="XT71" s="66"/>
      <c r="XU71" s="66"/>
      <c r="XV71" s="66"/>
      <c r="XW71" s="66"/>
      <c r="XX71" s="66"/>
      <c r="XY71" s="66"/>
      <c r="XZ71" s="66"/>
      <c r="YA71" s="66"/>
      <c r="YB71" s="66"/>
      <c r="YC71" s="66"/>
      <c r="YD71" s="66"/>
      <c r="YE71" s="66"/>
      <c r="YF71" s="66"/>
      <c r="YG71" s="66"/>
      <c r="YH71" s="66"/>
      <c r="YI71" s="66"/>
      <c r="YJ71" s="66"/>
      <c r="YK71" s="66"/>
      <c r="YL71" s="66"/>
      <c r="YM71" s="66"/>
      <c r="YN71" s="66"/>
      <c r="YO71" s="66"/>
      <c r="YP71" s="66"/>
      <c r="YQ71" s="66"/>
      <c r="YR71" s="66"/>
      <c r="YS71" s="66"/>
      <c r="YT71" s="66"/>
      <c r="YU71" s="66"/>
      <c r="YV71" s="66"/>
      <c r="YW71" s="66"/>
      <c r="YX71" s="66"/>
      <c r="YY71" s="66"/>
      <c r="YZ71" s="66"/>
      <c r="ZA71" s="66"/>
      <c r="ZB71" s="66"/>
      <c r="ZC71" s="66"/>
      <c r="ZD71" s="66"/>
      <c r="ZE71" s="66"/>
      <c r="ZF71" s="66"/>
      <c r="ZG71" s="66"/>
      <c r="ZH71" s="66"/>
      <c r="ZI71" s="66"/>
      <c r="ZJ71" s="66"/>
      <c r="ZK71" s="66"/>
      <c r="ZL71" s="66"/>
      <c r="ZM71" s="66"/>
      <c r="ZN71" s="66"/>
      <c r="ZO71" s="66"/>
      <c r="ZP71" s="66"/>
      <c r="ZQ71" s="66"/>
      <c r="ZR71" s="66"/>
      <c r="ZS71" s="66"/>
      <c r="ZT71" s="66"/>
      <c r="ZU71" s="66"/>
      <c r="ZV71" s="66"/>
      <c r="ZW71" s="66"/>
      <c r="ZX71" s="66"/>
      <c r="ZY71" s="66"/>
      <c r="ZZ71" s="66"/>
      <c r="AAA71" s="66"/>
      <c r="AAB71" s="66"/>
      <c r="AAC71" s="66"/>
      <c r="AAD71" s="66"/>
      <c r="AAE71" s="66"/>
      <c r="AAF71" s="66"/>
      <c r="AAG71" s="66"/>
      <c r="AAH71" s="66"/>
      <c r="AAI71" s="66"/>
      <c r="AAJ71" s="66"/>
      <c r="AAK71" s="66"/>
      <c r="AAL71" s="66"/>
      <c r="AAM71" s="66"/>
      <c r="AAN71" s="66"/>
      <c r="AAO71" s="66"/>
      <c r="AAP71" s="66"/>
      <c r="AAQ71" s="66"/>
      <c r="AAR71" s="66"/>
      <c r="AAS71" s="66"/>
      <c r="AAT71" s="66"/>
      <c r="AAU71" s="66"/>
      <c r="AAV71" s="66"/>
      <c r="AAW71" s="66"/>
      <c r="AAX71" s="66"/>
      <c r="AAY71" s="66"/>
      <c r="AAZ71" s="66"/>
      <c r="ABA71" s="66"/>
      <c r="ABB71" s="66"/>
      <c r="ABC71" s="66"/>
      <c r="ABD71" s="66"/>
      <c r="ABE71" s="66"/>
      <c r="ABF71" s="66"/>
      <c r="ABG71" s="66"/>
      <c r="ABH71" s="66"/>
      <c r="ABI71" s="66"/>
      <c r="ABJ71" s="66"/>
      <c r="ABK71" s="66"/>
      <c r="ABL71" s="66"/>
      <c r="ABM71" s="66"/>
      <c r="ABN71" s="66"/>
      <c r="ABO71" s="66"/>
      <c r="ABP71" s="66"/>
      <c r="ABQ71" s="66"/>
      <c r="ABR71" s="66"/>
      <c r="ABS71" s="66"/>
      <c r="ABT71" s="66"/>
      <c r="ABU71" s="66"/>
      <c r="ABV71" s="66"/>
      <c r="ABW71" s="66"/>
      <c r="ABX71" s="66"/>
      <c r="ABY71" s="66"/>
      <c r="ABZ71" s="66"/>
      <c r="ACA71" s="66"/>
      <c r="ACB71" s="66"/>
      <c r="ACC71" s="66"/>
      <c r="ACD71" s="66"/>
      <c r="ACE71" s="66"/>
      <c r="ACF71" s="66"/>
      <c r="ACG71" s="66"/>
      <c r="ACH71" s="66"/>
      <c r="ACI71" s="66"/>
      <c r="ACJ71" s="66"/>
      <c r="ACK71" s="66"/>
      <c r="ACL71" s="66"/>
      <c r="ACM71" s="66"/>
      <c r="ACN71" s="66"/>
      <c r="ACO71" s="66"/>
      <c r="ACP71" s="66"/>
      <c r="ACQ71" s="66"/>
      <c r="ACR71" s="66"/>
      <c r="ACS71" s="66"/>
      <c r="ACT71" s="66"/>
      <c r="ACU71" s="66"/>
      <c r="ACV71" s="66"/>
      <c r="ACW71" s="66"/>
      <c r="ACX71" s="66"/>
      <c r="ACY71" s="66"/>
      <c r="ACZ71" s="66"/>
      <c r="ADA71" s="66"/>
      <c r="ADB71" s="66"/>
      <c r="ADC71" s="66"/>
      <c r="ADD71" s="66"/>
      <c r="ADE71" s="66"/>
      <c r="ADF71" s="66"/>
      <c r="ADG71" s="66"/>
      <c r="ADH71" s="66"/>
      <c r="ADI71" s="66"/>
      <c r="ADJ71" s="66"/>
      <c r="ADK71" s="66"/>
      <c r="ADL71" s="66"/>
      <c r="ADM71" s="66"/>
      <c r="ADN71" s="66"/>
      <c r="ADO71" s="66"/>
      <c r="ADP71" s="66"/>
      <c r="ADQ71" s="66"/>
      <c r="ADR71" s="66"/>
      <c r="ADS71" s="66"/>
      <c r="ADT71" s="66"/>
      <c r="ADU71" s="66"/>
      <c r="ADV71" s="66"/>
      <c r="ADW71" s="66"/>
      <c r="ADX71" s="66"/>
      <c r="ADY71" s="66"/>
      <c r="ADZ71" s="66"/>
      <c r="AEA71" s="66"/>
      <c r="AEB71" s="66"/>
      <c r="AEC71" s="66"/>
      <c r="AED71" s="66"/>
      <c r="AEE71" s="66"/>
      <c r="AEF71" s="66"/>
      <c r="AEG71" s="66"/>
      <c r="AEH71" s="66"/>
      <c r="AEI71" s="66"/>
      <c r="AEJ71" s="66"/>
      <c r="AEK71" s="66"/>
      <c r="AEL71" s="66"/>
      <c r="AEM71" s="66"/>
      <c r="AEN71" s="66"/>
      <c r="AEO71" s="66"/>
      <c r="AEP71" s="66"/>
      <c r="AEQ71" s="66"/>
      <c r="AER71" s="66"/>
      <c r="AES71" s="66"/>
      <c r="AET71" s="66"/>
      <c r="AEU71" s="66"/>
      <c r="AEV71" s="66"/>
      <c r="AEW71" s="66"/>
      <c r="AEX71" s="66"/>
      <c r="AEY71" s="66"/>
      <c r="AEZ71" s="66"/>
      <c r="AFA71" s="66"/>
      <c r="AFB71" s="66"/>
      <c r="AFC71" s="66"/>
      <c r="AFD71" s="66"/>
      <c r="AFE71" s="66"/>
      <c r="AFF71" s="66"/>
      <c r="AFG71" s="66"/>
      <c r="AFH71" s="66"/>
      <c r="AFI71" s="66"/>
      <c r="AFJ71" s="66"/>
      <c r="AFK71" s="66"/>
      <c r="AFL71" s="66"/>
      <c r="AFM71" s="66"/>
      <c r="AFN71" s="66"/>
      <c r="AFO71" s="66"/>
      <c r="AFP71" s="66"/>
      <c r="AFQ71" s="66"/>
      <c r="AFR71" s="66"/>
      <c r="AFS71" s="66"/>
      <c r="AFT71" s="66"/>
      <c r="AFU71" s="66"/>
      <c r="AFV71" s="66"/>
      <c r="AFW71" s="66"/>
      <c r="AFX71" s="66"/>
      <c r="AFY71" s="66"/>
      <c r="AFZ71" s="66"/>
      <c r="AGA71" s="66"/>
      <c r="AGB71" s="66"/>
      <c r="AGC71" s="66"/>
      <c r="AGD71" s="66"/>
      <c r="AGE71" s="66"/>
      <c r="AGF71" s="66"/>
      <c r="AGG71" s="66"/>
      <c r="AGH71" s="66"/>
      <c r="AGI71" s="66"/>
      <c r="AGJ71" s="66"/>
      <c r="AGK71" s="66"/>
      <c r="AGL71" s="66"/>
      <c r="AGM71" s="66"/>
      <c r="AGN71" s="66"/>
      <c r="AGO71" s="66"/>
      <c r="AGP71" s="66"/>
      <c r="AGQ71" s="66"/>
      <c r="AGR71" s="66"/>
      <c r="AGS71" s="66"/>
      <c r="AGT71" s="66"/>
      <c r="AGU71" s="66"/>
      <c r="AGV71" s="66"/>
      <c r="AGW71" s="66"/>
      <c r="AGX71" s="66"/>
      <c r="AGY71" s="66"/>
      <c r="AGZ71" s="66"/>
      <c r="AHA71" s="66"/>
      <c r="AHB71" s="66"/>
      <c r="AHC71" s="66"/>
      <c r="AHD71" s="66"/>
      <c r="AHE71" s="66"/>
      <c r="AHF71" s="66"/>
      <c r="AHG71" s="66"/>
      <c r="AHH71" s="66"/>
      <c r="AHI71" s="66"/>
      <c r="AHJ71" s="66"/>
      <c r="AHK71" s="66"/>
      <c r="AHL71" s="66"/>
      <c r="AHM71" s="66"/>
      <c r="AHN71" s="66"/>
      <c r="AHO71" s="66"/>
      <c r="AHP71" s="66"/>
      <c r="AHQ71" s="66"/>
      <c r="AHR71" s="66"/>
      <c r="AHS71" s="66"/>
      <c r="AHT71" s="66"/>
      <c r="AHU71" s="66"/>
      <c r="AHV71" s="66"/>
      <c r="AHW71" s="66"/>
      <c r="AHX71" s="66"/>
      <c r="AHY71" s="66"/>
      <c r="AHZ71" s="66"/>
      <c r="AIA71" s="66"/>
      <c r="AIB71" s="66"/>
      <c r="AIC71" s="66"/>
      <c r="AID71" s="66"/>
      <c r="AIE71" s="66"/>
      <c r="AIF71" s="66"/>
      <c r="AIG71" s="66"/>
      <c r="AIH71" s="66"/>
      <c r="AII71" s="66"/>
      <c r="AIJ71" s="66"/>
      <c r="AIK71" s="66"/>
      <c r="AIL71" s="66"/>
      <c r="AIM71" s="66"/>
      <c r="AIN71" s="66"/>
      <c r="AIO71" s="66"/>
      <c r="AIP71" s="66"/>
      <c r="AIQ71" s="66"/>
      <c r="AIR71" s="66"/>
    </row>
    <row r="72" spans="1:928" ht="16.5" customHeight="1">
      <c r="A72" s="423" t="s">
        <v>182</v>
      </c>
      <c r="B72" s="423"/>
      <c r="C72" s="423"/>
      <c r="D72" s="423"/>
      <c r="E72" s="105"/>
      <c r="F72" s="105"/>
      <c r="G72" s="105"/>
      <c r="H72" s="105"/>
      <c r="I72" s="105"/>
      <c r="J72" s="105"/>
      <c r="K72" s="105"/>
      <c r="L72" s="105"/>
      <c r="M72" s="105"/>
      <c r="N72" s="105"/>
      <c r="O72" s="105"/>
      <c r="P72" s="105"/>
      <c r="Q72" s="128">
        <f t="shared" ref="Q72:Q74" si="13">SUM(E72:P72)</f>
        <v>0</v>
      </c>
    </row>
    <row r="73" spans="1:928" ht="17.25" customHeight="1">
      <c r="A73" s="423" t="s">
        <v>183</v>
      </c>
      <c r="B73" s="423"/>
      <c r="C73" s="423"/>
      <c r="D73" s="423"/>
      <c r="E73" s="105"/>
      <c r="F73" s="105"/>
      <c r="G73" s="105"/>
      <c r="H73" s="105"/>
      <c r="I73" s="105"/>
      <c r="J73" s="105"/>
      <c r="K73" s="105"/>
      <c r="L73" s="105"/>
      <c r="M73" s="105"/>
      <c r="N73" s="105"/>
      <c r="O73" s="105"/>
      <c r="P73" s="105"/>
      <c r="Q73" s="128">
        <f t="shared" si="13"/>
        <v>0</v>
      </c>
    </row>
    <row r="74" spans="1:928" s="44" customFormat="1" ht="18" customHeight="1">
      <c r="A74" s="436" t="s">
        <v>184</v>
      </c>
      <c r="B74" s="436"/>
      <c r="C74" s="436"/>
      <c r="D74" s="436"/>
      <c r="E74" s="134">
        <f t="shared" ref="E74:P74" si="14">SUM(E72:E73)</f>
        <v>0</v>
      </c>
      <c r="F74" s="134">
        <f t="shared" si="14"/>
        <v>0</v>
      </c>
      <c r="G74" s="134">
        <f t="shared" si="14"/>
        <v>0</v>
      </c>
      <c r="H74" s="134">
        <f t="shared" si="14"/>
        <v>0</v>
      </c>
      <c r="I74" s="134">
        <f t="shared" si="14"/>
        <v>0</v>
      </c>
      <c r="J74" s="134">
        <f t="shared" si="14"/>
        <v>0</v>
      </c>
      <c r="K74" s="134">
        <f t="shared" si="14"/>
        <v>0</v>
      </c>
      <c r="L74" s="134">
        <f t="shared" si="14"/>
        <v>0</v>
      </c>
      <c r="M74" s="134">
        <f t="shared" si="14"/>
        <v>0</v>
      </c>
      <c r="N74" s="134">
        <f t="shared" si="14"/>
        <v>0</v>
      </c>
      <c r="O74" s="134">
        <f t="shared" si="14"/>
        <v>0</v>
      </c>
      <c r="P74" s="134">
        <f t="shared" si="14"/>
        <v>0</v>
      </c>
      <c r="Q74" s="135">
        <f t="shared" si="13"/>
        <v>0</v>
      </c>
    </row>
    <row r="75" spans="1:928" ht="16.5" customHeight="1">
      <c r="A75" s="430"/>
      <c r="B75" s="430"/>
      <c r="C75" s="430"/>
      <c r="D75" s="430"/>
      <c r="E75" s="137"/>
      <c r="F75" s="137"/>
      <c r="G75" s="137"/>
      <c r="H75" s="137"/>
      <c r="I75" s="137"/>
      <c r="J75" s="137"/>
      <c r="K75" s="137"/>
      <c r="L75" s="137"/>
      <c r="M75" s="137"/>
      <c r="N75" s="137"/>
      <c r="O75" s="137"/>
      <c r="P75" s="137"/>
      <c r="Q75" s="138"/>
    </row>
    <row r="76" spans="1:928" ht="16.5" customHeight="1">
      <c r="A76" s="430"/>
      <c r="B76" s="430"/>
      <c r="C76" s="430"/>
      <c r="D76" s="430"/>
      <c r="E76" s="137"/>
      <c r="F76" s="137"/>
      <c r="G76" s="137"/>
      <c r="H76" s="137"/>
      <c r="I76" s="137"/>
      <c r="J76" s="137"/>
      <c r="K76" s="137"/>
      <c r="L76" s="137"/>
      <c r="M76" s="137"/>
      <c r="N76" s="137"/>
      <c r="O76" s="137"/>
      <c r="P76" s="137"/>
      <c r="Q76" s="138"/>
    </row>
    <row r="77" spans="1:928" s="141" customFormat="1" ht="18">
      <c r="A77" s="442" t="s">
        <v>185</v>
      </c>
      <c r="B77" s="442"/>
      <c r="C77" s="442"/>
      <c r="D77" s="442"/>
      <c r="E77" s="139">
        <f>E64+E74+E46+E40+E68</f>
        <v>219100</v>
      </c>
      <c r="F77" s="139">
        <f>F64+F74+F46+F40+F68</f>
        <v>219100</v>
      </c>
      <c r="G77" s="139">
        <f>G64+G74+G46+G40+G68</f>
        <v>219100</v>
      </c>
      <c r="H77" s="139">
        <f>H64+H74+H46+H40+H68</f>
        <v>219100</v>
      </c>
      <c r="I77" s="139">
        <f>I64+I74+I46+I40+I68</f>
        <v>219100</v>
      </c>
      <c r="J77" s="139">
        <f>J64+J74+J46+J40+J68</f>
        <v>219100</v>
      </c>
      <c r="K77" s="139">
        <f>K64+K74+K46+K40+K68</f>
        <v>219100</v>
      </c>
      <c r="L77" s="139">
        <f>L64+L74+L46+L40+L68</f>
        <v>219100</v>
      </c>
      <c r="M77" s="139">
        <f>M64+M74+M46+M40+M68</f>
        <v>219100</v>
      </c>
      <c r="N77" s="139">
        <f>N64+N74+N46+N40+N68</f>
        <v>219100</v>
      </c>
      <c r="O77" s="139">
        <f>O64+O74+O46+O40+O68</f>
        <v>219100</v>
      </c>
      <c r="P77" s="139">
        <f>P64+P74+P46+P40+P68</f>
        <v>219100</v>
      </c>
      <c r="Q77" s="140">
        <f>SUM(E77:P77)</f>
        <v>2629200</v>
      </c>
    </row>
    <row r="78" spans="1:928" ht="13">
      <c r="N78" s="142"/>
    </row>
    <row r="79" spans="1:928" ht="13"/>
    <row r="80" spans="1:928" ht="13"/>
    <row r="81" ht="13"/>
    <row r="86" ht="13"/>
    <row r="88" ht="13"/>
    <row r="89" ht="13"/>
    <row r="90" ht="13"/>
    <row r="91" ht="13"/>
    <row r="92" ht="13"/>
    <row r="98" ht="13"/>
    <row r="99" ht="13"/>
    <row r="100" ht="13"/>
  </sheetData>
  <mergeCells count="62">
    <mergeCell ref="A10:D10"/>
    <mergeCell ref="A28:D28"/>
    <mergeCell ref="A73:D73"/>
    <mergeCell ref="A40:D40"/>
    <mergeCell ref="A17:D17"/>
    <mergeCell ref="A66:D66"/>
    <mergeCell ref="A51:D51"/>
    <mergeCell ref="A15:D15"/>
    <mergeCell ref="A50:D50"/>
    <mergeCell ref="A26:D26"/>
    <mergeCell ref="A60:D60"/>
    <mergeCell ref="A72:D72"/>
    <mergeCell ref="A55:D55"/>
    <mergeCell ref="A39:D39"/>
    <mergeCell ref="A16:D16"/>
    <mergeCell ref="A64:D64"/>
    <mergeCell ref="A27:D27"/>
    <mergeCell ref="A32:D32"/>
    <mergeCell ref="A59:D59"/>
    <mergeCell ref="A22:D22"/>
    <mergeCell ref="A71:D71"/>
    <mergeCell ref="A54:D54"/>
    <mergeCell ref="A38:D38"/>
    <mergeCell ref="A62:D62"/>
    <mergeCell ref="A24:D24"/>
    <mergeCell ref="A76:D76"/>
    <mergeCell ref="A43:D43"/>
    <mergeCell ref="A19:D19"/>
    <mergeCell ref="A35:D35"/>
    <mergeCell ref="A47:D47"/>
    <mergeCell ref="A30:D30"/>
    <mergeCell ref="A25:D25"/>
    <mergeCell ref="A77:D77"/>
    <mergeCell ref="A57:D57"/>
    <mergeCell ref="A44:D44"/>
    <mergeCell ref="A20:D20"/>
    <mergeCell ref="A68:D68"/>
    <mergeCell ref="A36:D36"/>
    <mergeCell ref="A74:D74"/>
    <mergeCell ref="A75:D75"/>
    <mergeCell ref="A42:D42"/>
    <mergeCell ref="A18:D18"/>
    <mergeCell ref="A34:D34"/>
    <mergeCell ref="A12:D12"/>
    <mergeCell ref="A46:D46"/>
    <mergeCell ref="A13:D13"/>
    <mergeCell ref="A48:D48"/>
    <mergeCell ref="A31:D31"/>
    <mergeCell ref="A58:D58"/>
    <mergeCell ref="A21:D21"/>
    <mergeCell ref="A70:D70"/>
    <mergeCell ref="A67:D67"/>
    <mergeCell ref="A52:D52"/>
    <mergeCell ref="A33:D33"/>
    <mergeCell ref="A11:D11"/>
    <mergeCell ref="A29:D29"/>
    <mergeCell ref="A61:D61"/>
    <mergeCell ref="A23:D23"/>
    <mergeCell ref="A53:D53"/>
    <mergeCell ref="A37:D37"/>
    <mergeCell ref="A14:D14"/>
    <mergeCell ref="A49:D49"/>
  </mergeCell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O48"/>
  <sheetViews>
    <sheetView workbookViewId="0">
      <pane xSplit="14" ySplit="5" topLeftCell="CC6" activePane="bottomRight" state="frozen"/>
      <selection pane="topRight"/>
      <selection pane="bottomLeft"/>
      <selection pane="bottomRight" activeCell="CN11" sqref="CN11"/>
    </sheetView>
  </sheetViews>
  <sheetFormatPr baseColWidth="10" defaultColWidth="8.83203125" defaultRowHeight="18.75" customHeight="1"/>
  <cols>
    <col min="1" max="1" width="61.33203125" style="2"/>
    <col min="2" max="2" width="0" style="2" hidden="1"/>
    <col min="3" max="14" width="0" hidden="1"/>
    <col min="15" max="15" width="0" style="2" hidden="1"/>
    <col min="16" max="54" width="0" hidden="1"/>
    <col min="55" max="55" width="0" style="2" hidden="1"/>
    <col min="56" max="80" width="0" hidden="1"/>
    <col min="81" max="92" width="14.6640625"/>
    <col min="93" max="93" width="17"/>
    <col min="94" max="256" width="14.5"/>
    <col min="257" max="1024" width="13.33203125"/>
    <col min="1025" max="1025" width="11.5"/>
  </cols>
  <sheetData>
    <row r="1" spans="1:93" ht="14">
      <c r="A1" s="2" t="s">
        <v>186</v>
      </c>
    </row>
    <row r="2" spans="1:93" ht="14">
      <c r="A2" s="2" t="s">
        <v>187</v>
      </c>
      <c r="BC2" s="143">
        <v>0.04</v>
      </c>
      <c r="BD2" s="2" t="s">
        <v>188</v>
      </c>
    </row>
    <row r="3" spans="1:93" ht="14">
      <c r="BC3" s="2">
        <v>1.04</v>
      </c>
    </row>
    <row r="4" spans="1:93" ht="14">
      <c r="B4" s="144">
        <v>42736</v>
      </c>
      <c r="C4" s="144">
        <v>42767</v>
      </c>
      <c r="D4" s="144">
        <v>42795</v>
      </c>
      <c r="E4" s="144">
        <v>42826</v>
      </c>
      <c r="F4" s="144">
        <v>42856</v>
      </c>
      <c r="G4" s="144">
        <v>42887</v>
      </c>
      <c r="H4" s="144">
        <v>42917</v>
      </c>
      <c r="I4" s="144">
        <v>42948</v>
      </c>
      <c r="J4" s="144">
        <v>42979</v>
      </c>
      <c r="K4" s="144">
        <v>43009</v>
      </c>
      <c r="L4" s="144">
        <v>43040</v>
      </c>
      <c r="M4" s="144">
        <v>43070</v>
      </c>
      <c r="N4" s="145" t="s">
        <v>189</v>
      </c>
      <c r="P4" s="144">
        <v>43101</v>
      </c>
      <c r="Q4" s="144">
        <v>43132</v>
      </c>
      <c r="R4" s="144">
        <v>43160</v>
      </c>
      <c r="S4" s="144">
        <v>43191</v>
      </c>
      <c r="T4" s="144">
        <v>43221</v>
      </c>
      <c r="U4" s="144">
        <v>43252</v>
      </c>
      <c r="V4" s="144">
        <v>43282</v>
      </c>
      <c r="W4" s="144">
        <v>43313</v>
      </c>
      <c r="X4" s="144">
        <v>43344</v>
      </c>
      <c r="Y4" s="144">
        <v>43374</v>
      </c>
      <c r="Z4" s="144">
        <v>43405</v>
      </c>
      <c r="AA4" s="144">
        <v>43435</v>
      </c>
      <c r="AB4" s="145" t="s">
        <v>190</v>
      </c>
      <c r="AC4" s="144">
        <v>43466</v>
      </c>
      <c r="AD4" s="144">
        <v>43497</v>
      </c>
      <c r="AE4" s="144">
        <v>43525</v>
      </c>
      <c r="AF4" s="144">
        <v>43556</v>
      </c>
      <c r="AG4" s="144">
        <v>43586</v>
      </c>
      <c r="AH4" s="144">
        <v>43617</v>
      </c>
      <c r="AI4" s="144">
        <v>43647</v>
      </c>
      <c r="AJ4" s="144">
        <v>43678</v>
      </c>
      <c r="AK4" s="144">
        <v>43709</v>
      </c>
      <c r="AL4" s="144">
        <v>43739</v>
      </c>
      <c r="AM4" s="144">
        <v>43770</v>
      </c>
      <c r="AN4" s="144">
        <v>43800</v>
      </c>
      <c r="AO4" s="145" t="s">
        <v>191</v>
      </c>
      <c r="AP4" s="144">
        <v>43831</v>
      </c>
      <c r="AQ4" s="144">
        <v>43862</v>
      </c>
      <c r="AR4" s="144">
        <v>43891</v>
      </c>
      <c r="AS4" s="144">
        <v>43922</v>
      </c>
      <c r="AT4" s="144">
        <v>43952</v>
      </c>
      <c r="AU4" s="144">
        <v>43983</v>
      </c>
      <c r="AV4" s="144">
        <v>44013</v>
      </c>
      <c r="AW4" s="144">
        <v>44044</v>
      </c>
      <c r="AX4" s="144">
        <v>44075</v>
      </c>
      <c r="AY4" s="144">
        <v>44105</v>
      </c>
      <c r="AZ4" s="144">
        <v>44136</v>
      </c>
      <c r="BA4" s="144">
        <v>44166</v>
      </c>
      <c r="BB4" s="144" t="s">
        <v>192</v>
      </c>
      <c r="BC4" s="144">
        <v>44197</v>
      </c>
      <c r="BD4" s="144">
        <v>44228</v>
      </c>
      <c r="BE4" s="144">
        <v>44256</v>
      </c>
      <c r="BF4" s="144">
        <v>44287</v>
      </c>
      <c r="BG4" s="144">
        <v>44317</v>
      </c>
      <c r="BH4" s="144">
        <v>44348</v>
      </c>
      <c r="BI4" s="144">
        <v>44378</v>
      </c>
      <c r="BJ4" s="144">
        <v>44409</v>
      </c>
      <c r="BK4" s="144">
        <v>44440</v>
      </c>
      <c r="BL4" s="144">
        <v>44470</v>
      </c>
      <c r="BM4" s="144">
        <v>44501</v>
      </c>
      <c r="BN4" s="144">
        <v>44531</v>
      </c>
      <c r="BO4" s="144" t="s">
        <v>193</v>
      </c>
      <c r="BP4" s="144">
        <v>44562</v>
      </c>
      <c r="BQ4" s="144">
        <v>44593</v>
      </c>
      <c r="BR4" s="144">
        <v>44621</v>
      </c>
      <c r="BS4" s="144">
        <v>44652</v>
      </c>
      <c r="BT4" s="144">
        <v>44682</v>
      </c>
      <c r="BU4" s="144">
        <v>44713</v>
      </c>
      <c r="BV4" s="144">
        <v>44743</v>
      </c>
      <c r="BW4" s="144">
        <v>44774</v>
      </c>
      <c r="BX4" s="144">
        <v>44805</v>
      </c>
      <c r="BY4" s="144">
        <v>44835</v>
      </c>
      <c r="BZ4" s="144">
        <v>44866</v>
      </c>
      <c r="CA4" s="144">
        <v>44896</v>
      </c>
      <c r="CB4" s="146" t="s">
        <v>194</v>
      </c>
      <c r="CC4" s="144">
        <v>44927</v>
      </c>
      <c r="CD4" s="144">
        <v>44958</v>
      </c>
      <c r="CE4" s="144">
        <v>44986</v>
      </c>
      <c r="CF4" s="144">
        <v>45017</v>
      </c>
      <c r="CG4" s="144">
        <v>45047</v>
      </c>
      <c r="CH4" s="144">
        <v>45078</v>
      </c>
      <c r="CI4" s="144">
        <v>45108</v>
      </c>
      <c r="CJ4" s="144">
        <v>45139</v>
      </c>
      <c r="CK4" s="144">
        <v>45170</v>
      </c>
      <c r="CL4" s="144">
        <v>45200</v>
      </c>
      <c r="CM4" s="144">
        <v>45231</v>
      </c>
      <c r="CN4" s="144">
        <v>45261</v>
      </c>
      <c r="CO4" s="144" t="s">
        <v>195</v>
      </c>
    </row>
    <row r="5" spans="1:93" ht="14">
      <c r="A5" s="90" t="s">
        <v>196</v>
      </c>
      <c r="B5" s="147"/>
      <c r="C5" s="147"/>
      <c r="D5" s="147"/>
      <c r="E5" s="147"/>
      <c r="F5" s="147"/>
      <c r="G5" s="147"/>
      <c r="H5" s="147"/>
      <c r="I5" s="147"/>
      <c r="J5" s="147"/>
      <c r="K5" s="147"/>
      <c r="L5" s="147"/>
      <c r="M5" s="147"/>
      <c r="N5" s="90"/>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row>
    <row r="6" spans="1:93" ht="14">
      <c r="A6" s="150" t="s">
        <v>338</v>
      </c>
      <c r="B6" s="151">
        <v>23000</v>
      </c>
      <c r="C6" s="151">
        <v>23000</v>
      </c>
      <c r="D6" s="151">
        <v>23000</v>
      </c>
      <c r="E6" s="151">
        <v>23000</v>
      </c>
      <c r="F6" s="151">
        <v>23000</v>
      </c>
      <c r="G6" s="151">
        <v>23000</v>
      </c>
      <c r="H6" s="151">
        <v>23000</v>
      </c>
      <c r="I6" s="151">
        <v>23000</v>
      </c>
      <c r="J6" s="151">
        <v>23000</v>
      </c>
      <c r="K6" s="151">
        <v>23000</v>
      </c>
      <c r="L6" s="151">
        <v>23000</v>
      </c>
      <c r="M6" s="151">
        <v>23000</v>
      </c>
      <c r="N6" s="152"/>
      <c r="O6" s="150" t="s">
        <v>197</v>
      </c>
      <c r="P6" s="151" t="s">
        <v>198</v>
      </c>
      <c r="Q6" s="151" t="s">
        <v>199</v>
      </c>
      <c r="R6" s="151" t="s">
        <v>200</v>
      </c>
      <c r="S6" s="151" t="s">
        <v>201</v>
      </c>
      <c r="T6" s="151" t="s">
        <v>202</v>
      </c>
      <c r="U6" s="151" t="s">
        <v>203</v>
      </c>
      <c r="V6" s="151" t="s">
        <v>204</v>
      </c>
      <c r="W6" s="151" t="s">
        <v>205</v>
      </c>
      <c r="X6" s="151" t="s">
        <v>206</v>
      </c>
      <c r="Y6" s="151" t="s">
        <v>207</v>
      </c>
      <c r="Z6" s="151" t="s">
        <v>208</v>
      </c>
      <c r="AA6" s="151" t="s">
        <v>209</v>
      </c>
      <c r="AB6" s="153">
        <f>SUM(P6:AA6)</f>
        <v>0</v>
      </c>
      <c r="AC6" s="151">
        <v>24000</v>
      </c>
      <c r="AD6" s="151">
        <v>24000</v>
      </c>
      <c r="AE6" s="151">
        <v>24000</v>
      </c>
      <c r="AF6" s="151">
        <v>24000</v>
      </c>
      <c r="AG6" s="151">
        <v>24000</v>
      </c>
      <c r="AH6" s="151">
        <v>24000</v>
      </c>
      <c r="AI6" s="151">
        <v>24000</v>
      </c>
      <c r="AJ6" s="151">
        <v>24000</v>
      </c>
      <c r="AK6" s="151">
        <v>24000</v>
      </c>
      <c r="AL6" s="151">
        <v>24000</v>
      </c>
      <c r="AM6" s="151">
        <v>24000</v>
      </c>
      <c r="AN6" s="151">
        <v>24000</v>
      </c>
      <c r="AO6" s="153">
        <v>24000</v>
      </c>
      <c r="AP6" s="151">
        <v>30000</v>
      </c>
      <c r="AQ6" s="151">
        <f t="shared" ref="AQ6:AQ7" si="0">AP6</f>
        <v>30000</v>
      </c>
      <c r="AR6" s="151">
        <f t="shared" ref="AR6:AR7" si="1">AQ6</f>
        <v>30000</v>
      </c>
      <c r="AS6" s="151">
        <f t="shared" ref="AS6:AS7" si="2">AR6</f>
        <v>30000</v>
      </c>
      <c r="AT6" s="151">
        <f t="shared" ref="AT6:AT7" si="3">AS6</f>
        <v>30000</v>
      </c>
      <c r="AU6" s="151">
        <f t="shared" ref="AU6:AU7" si="4">AT6</f>
        <v>30000</v>
      </c>
      <c r="AV6" s="151">
        <f t="shared" ref="AV6:AV7" si="5">AU6</f>
        <v>30000</v>
      </c>
      <c r="AW6" s="151">
        <f t="shared" ref="AW6:AW7" si="6">AV6</f>
        <v>30000</v>
      </c>
      <c r="AX6" s="151">
        <f t="shared" ref="AX6:AX7" si="7">AW6</f>
        <v>30000</v>
      </c>
      <c r="AY6" s="151">
        <f t="shared" ref="AY6:AY7" si="8">AX6</f>
        <v>30000</v>
      </c>
      <c r="AZ6" s="151">
        <f t="shared" ref="AZ6:AZ7" si="9">AY6</f>
        <v>30000</v>
      </c>
      <c r="BA6" s="151">
        <f t="shared" ref="BA6:BA7" si="10">AZ6</f>
        <v>30000</v>
      </c>
      <c r="BB6" s="153">
        <f t="shared" ref="BB6:BB7" si="11">BA6</f>
        <v>30000</v>
      </c>
      <c r="BC6" s="97">
        <f>BA6*BC3+800</f>
        <v>32000</v>
      </c>
      <c r="BD6" s="97">
        <f t="shared" ref="BD6:BD7" si="12">BC6</f>
        <v>32000</v>
      </c>
      <c r="BE6" s="97">
        <f t="shared" ref="BE6:BE7" si="13">BD6</f>
        <v>32000</v>
      </c>
      <c r="BF6" s="97">
        <f t="shared" ref="BF6:BF7" si="14">BE6</f>
        <v>32000</v>
      </c>
      <c r="BG6" s="97">
        <f t="shared" ref="BG6:BG7" si="15">BF6</f>
        <v>32000</v>
      </c>
      <c r="BH6" s="97">
        <f t="shared" ref="BH6:BH7" si="16">BG6</f>
        <v>32000</v>
      </c>
      <c r="BI6" s="97">
        <f t="shared" ref="BI6:BI7" si="17">BH6</f>
        <v>32000</v>
      </c>
      <c r="BJ6" s="97">
        <f t="shared" ref="BJ6:BJ7" si="18">BI6</f>
        <v>32000</v>
      </c>
      <c r="BK6" s="97">
        <f t="shared" ref="BK6:BK7" si="19">BJ6</f>
        <v>32000</v>
      </c>
      <c r="BL6" s="97">
        <f t="shared" ref="BL6:BL7" si="20">BK6</f>
        <v>32000</v>
      </c>
      <c r="BM6" s="97">
        <f t="shared" ref="BM6:BM7" si="21">BL6</f>
        <v>32000</v>
      </c>
      <c r="BN6" s="97">
        <f t="shared" ref="BN6:BN7" si="22">BM6</f>
        <v>32000</v>
      </c>
      <c r="BO6" s="153">
        <f t="shared" ref="BO6:BO7" si="23">BN6</f>
        <v>32000</v>
      </c>
      <c r="BP6" s="154">
        <v>30000</v>
      </c>
      <c r="BQ6" s="155">
        <f t="shared" ref="BQ6:CA6" si="24">BP6</f>
        <v>30000</v>
      </c>
      <c r="BR6" s="155">
        <f t="shared" si="24"/>
        <v>30000</v>
      </c>
      <c r="BS6" s="155">
        <f t="shared" si="24"/>
        <v>30000</v>
      </c>
      <c r="BT6" s="155">
        <f t="shared" si="24"/>
        <v>30000</v>
      </c>
      <c r="BU6" s="155">
        <f t="shared" si="24"/>
        <v>30000</v>
      </c>
      <c r="BV6" s="155">
        <f t="shared" si="24"/>
        <v>30000</v>
      </c>
      <c r="BW6" s="155">
        <f t="shared" si="24"/>
        <v>30000</v>
      </c>
      <c r="BX6" s="155">
        <f t="shared" si="24"/>
        <v>30000</v>
      </c>
      <c r="BY6" s="155">
        <f t="shared" si="24"/>
        <v>30000</v>
      </c>
      <c r="BZ6" s="155">
        <f t="shared" si="24"/>
        <v>30000</v>
      </c>
      <c r="CA6" s="155">
        <f t="shared" si="24"/>
        <v>30000</v>
      </c>
      <c r="CB6" s="156">
        <f t="shared" ref="CB6:CB7" si="25">CA6</f>
        <v>30000</v>
      </c>
      <c r="CC6" s="154">
        <v>30000</v>
      </c>
      <c r="CD6" s="154">
        <v>30000</v>
      </c>
      <c r="CE6" s="155">
        <f t="shared" ref="CE6:CE7" si="26">CD6</f>
        <v>30000</v>
      </c>
      <c r="CF6" s="155">
        <f t="shared" ref="CF6:CF7" si="27">CE6</f>
        <v>30000</v>
      </c>
      <c r="CG6" s="155">
        <f t="shared" ref="CG6:CG7" si="28">CF6</f>
        <v>30000</v>
      </c>
      <c r="CH6" s="155">
        <f t="shared" ref="CH6:CH7" si="29">CG6</f>
        <v>30000</v>
      </c>
      <c r="CI6" s="155">
        <f t="shared" ref="CI6:CI7" si="30">CH6</f>
        <v>30000</v>
      </c>
      <c r="CJ6" s="155">
        <f t="shared" ref="CJ6:CJ7" si="31">CI6</f>
        <v>30000</v>
      </c>
      <c r="CK6" s="155">
        <f t="shared" ref="CK6:CK7" si="32">CJ6</f>
        <v>30000</v>
      </c>
      <c r="CL6" s="155">
        <f t="shared" ref="CL6:CL7" si="33">CK6</f>
        <v>30000</v>
      </c>
      <c r="CM6" s="155">
        <f t="shared" ref="CM6:CM7" si="34">CL6</f>
        <v>30000</v>
      </c>
      <c r="CN6" s="155">
        <f t="shared" ref="CN6:CN7" si="35">CM6</f>
        <v>30000</v>
      </c>
      <c r="CO6" s="156">
        <f t="shared" ref="CO6:CO7" si="36">CN6</f>
        <v>30000</v>
      </c>
    </row>
    <row r="7" spans="1:93" ht="14">
      <c r="A7" s="157" t="s">
        <v>211</v>
      </c>
      <c r="B7" s="158"/>
      <c r="C7" s="158"/>
      <c r="D7" s="158"/>
      <c r="E7" s="158"/>
      <c r="F7" s="158"/>
      <c r="G7" s="158"/>
      <c r="H7" s="158"/>
      <c r="I7" s="158"/>
      <c r="J7" s="158"/>
      <c r="K7" s="158"/>
      <c r="L7" s="158"/>
      <c r="M7" s="158"/>
      <c r="N7" s="159"/>
      <c r="O7" s="157" t="s">
        <v>210</v>
      </c>
      <c r="P7" s="158"/>
      <c r="Q7" s="158"/>
      <c r="R7" s="158"/>
      <c r="S7" s="158"/>
      <c r="T7" s="158"/>
      <c r="U7" s="158"/>
      <c r="V7" s="158"/>
      <c r="W7" s="158"/>
      <c r="X7" s="158"/>
      <c r="Y7" s="158"/>
      <c r="Z7" s="158"/>
      <c r="AA7" s="158"/>
      <c r="AB7" s="160"/>
      <c r="AC7" s="158">
        <v>0</v>
      </c>
      <c r="AD7" s="158">
        <v>0</v>
      </c>
      <c r="AE7" s="158">
        <v>0</v>
      </c>
      <c r="AF7" s="158">
        <v>0</v>
      </c>
      <c r="AG7" s="158">
        <v>0</v>
      </c>
      <c r="AH7" s="158">
        <v>0</v>
      </c>
      <c r="AI7" s="158">
        <v>0</v>
      </c>
      <c r="AJ7" s="158">
        <v>0</v>
      </c>
      <c r="AK7" s="158">
        <v>0</v>
      </c>
      <c r="AL7" s="158">
        <v>0</v>
      </c>
      <c r="AM7" s="158">
        <v>0</v>
      </c>
      <c r="AN7" s="158">
        <v>0</v>
      </c>
      <c r="AO7" s="160">
        <v>0</v>
      </c>
      <c r="AP7" s="158">
        <v>22000</v>
      </c>
      <c r="AQ7" s="158">
        <f t="shared" si="0"/>
        <v>22000</v>
      </c>
      <c r="AR7" s="158">
        <f t="shared" si="1"/>
        <v>22000</v>
      </c>
      <c r="AS7" s="158">
        <f t="shared" si="2"/>
        <v>22000</v>
      </c>
      <c r="AT7" s="158">
        <f t="shared" si="3"/>
        <v>22000</v>
      </c>
      <c r="AU7" s="158">
        <f t="shared" si="4"/>
        <v>22000</v>
      </c>
      <c r="AV7" s="158">
        <f t="shared" si="5"/>
        <v>22000</v>
      </c>
      <c r="AW7" s="158">
        <f t="shared" si="6"/>
        <v>22000</v>
      </c>
      <c r="AX7" s="158">
        <f t="shared" si="7"/>
        <v>22000</v>
      </c>
      <c r="AY7" s="158">
        <f t="shared" si="8"/>
        <v>22000</v>
      </c>
      <c r="AZ7" s="158">
        <f t="shared" si="9"/>
        <v>22000</v>
      </c>
      <c r="BA7" s="158">
        <f t="shared" si="10"/>
        <v>22000</v>
      </c>
      <c r="BB7" s="160">
        <f t="shared" si="11"/>
        <v>22000</v>
      </c>
      <c r="BC7" s="161">
        <f>BA7*$BC$3+620+2500</f>
        <v>26000</v>
      </c>
      <c r="BD7" s="161">
        <f t="shared" si="12"/>
        <v>26000</v>
      </c>
      <c r="BE7" s="161">
        <f t="shared" si="13"/>
        <v>26000</v>
      </c>
      <c r="BF7" s="161">
        <f t="shared" si="14"/>
        <v>26000</v>
      </c>
      <c r="BG7" s="161">
        <f t="shared" si="15"/>
        <v>26000</v>
      </c>
      <c r="BH7" s="161">
        <f t="shared" si="16"/>
        <v>26000</v>
      </c>
      <c r="BI7" s="161">
        <f t="shared" si="17"/>
        <v>26000</v>
      </c>
      <c r="BJ7" s="161">
        <f t="shared" si="18"/>
        <v>26000</v>
      </c>
      <c r="BK7" s="161">
        <f t="shared" si="19"/>
        <v>26000</v>
      </c>
      <c r="BL7" s="161">
        <f t="shared" si="20"/>
        <v>26000</v>
      </c>
      <c r="BM7" s="161">
        <f t="shared" si="21"/>
        <v>26000</v>
      </c>
      <c r="BN7" s="161">
        <f t="shared" si="22"/>
        <v>26000</v>
      </c>
      <c r="BO7" s="160">
        <f t="shared" si="23"/>
        <v>26000</v>
      </c>
      <c r="BP7" s="162">
        <v>24000</v>
      </c>
      <c r="BQ7" s="162">
        <v>24000</v>
      </c>
      <c r="BR7" s="162">
        <v>24000</v>
      </c>
      <c r="BS7" s="162">
        <v>24000</v>
      </c>
      <c r="BT7" s="162">
        <v>24000</v>
      </c>
      <c r="BU7" s="162">
        <v>24000</v>
      </c>
      <c r="BV7" s="162">
        <v>24000</v>
      </c>
      <c r="BW7" s="162">
        <v>24000</v>
      </c>
      <c r="BX7" s="162">
        <v>24000</v>
      </c>
      <c r="BY7" s="162">
        <v>24000</v>
      </c>
      <c r="BZ7" s="162">
        <v>24000</v>
      </c>
      <c r="CA7" s="162">
        <v>24000</v>
      </c>
      <c r="CB7" s="163">
        <f t="shared" si="25"/>
        <v>24000</v>
      </c>
      <c r="CC7" s="162"/>
      <c r="CD7" s="162">
        <f t="shared" ref="CD7" si="37">CC7</f>
        <v>0</v>
      </c>
      <c r="CE7" s="162">
        <f t="shared" si="26"/>
        <v>0</v>
      </c>
      <c r="CF7" s="162">
        <f t="shared" si="27"/>
        <v>0</v>
      </c>
      <c r="CG7" s="162">
        <f t="shared" si="28"/>
        <v>0</v>
      </c>
      <c r="CH7" s="162">
        <f t="shared" si="29"/>
        <v>0</v>
      </c>
      <c r="CI7" s="162">
        <f t="shared" si="30"/>
        <v>0</v>
      </c>
      <c r="CJ7" s="162">
        <f t="shared" si="31"/>
        <v>0</v>
      </c>
      <c r="CK7" s="162">
        <f t="shared" si="32"/>
        <v>0</v>
      </c>
      <c r="CL7" s="162">
        <f t="shared" si="33"/>
        <v>0</v>
      </c>
      <c r="CM7" s="162">
        <f t="shared" si="34"/>
        <v>0</v>
      </c>
      <c r="CN7" s="162">
        <f t="shared" si="35"/>
        <v>0</v>
      </c>
      <c r="CO7" s="162">
        <f t="shared" si="36"/>
        <v>0</v>
      </c>
    </row>
    <row r="8" spans="1:93" ht="14">
      <c r="A8" s="166"/>
      <c r="B8" s="167"/>
      <c r="C8" s="167"/>
      <c r="D8" s="167"/>
      <c r="E8" s="167"/>
      <c r="F8" s="167"/>
      <c r="G8" s="167"/>
      <c r="H8" s="167"/>
      <c r="I8" s="167"/>
      <c r="J8" s="167"/>
      <c r="K8" s="167"/>
      <c r="L8" s="167"/>
      <c r="M8" s="167"/>
      <c r="N8" s="16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row>
    <row r="9" spans="1:93" ht="14">
      <c r="A9" s="169" t="s">
        <v>212</v>
      </c>
      <c r="B9" s="170"/>
      <c r="C9" s="170"/>
      <c r="D9" s="170"/>
      <c r="E9" s="170"/>
      <c r="F9" s="170"/>
      <c r="G9" s="170"/>
      <c r="H9" s="170"/>
      <c r="I9" s="170"/>
      <c r="J9" s="170"/>
      <c r="K9" s="170"/>
      <c r="L9" s="170"/>
      <c r="M9" s="170"/>
      <c r="N9" s="171"/>
      <c r="O9" s="172"/>
      <c r="P9" s="172"/>
      <c r="Q9" s="172"/>
      <c r="R9" s="173"/>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9"/>
      <c r="BQ9" s="149"/>
      <c r="BR9" s="149"/>
      <c r="BS9" s="149"/>
      <c r="BT9" s="149"/>
      <c r="BU9" s="149"/>
      <c r="BV9" s="149"/>
      <c r="BW9" s="149"/>
      <c r="BX9" s="149"/>
      <c r="BY9" s="149"/>
      <c r="BZ9" s="149"/>
      <c r="CA9" s="149"/>
      <c r="CB9" s="149"/>
      <c r="CC9" s="149"/>
      <c r="CD9" s="149"/>
      <c r="CE9" s="149"/>
      <c r="CF9" s="149"/>
      <c r="CG9" s="149"/>
      <c r="CH9" s="149"/>
      <c r="CI9" s="149"/>
      <c r="CJ9" s="149"/>
      <c r="CK9" s="149"/>
      <c r="CL9" s="149"/>
      <c r="CM9" s="149"/>
      <c r="CN9" s="149"/>
      <c r="CO9" s="149"/>
    </row>
    <row r="10" spans="1:93" ht="14">
      <c r="A10" s="150" t="s">
        <v>338</v>
      </c>
      <c r="B10" s="174">
        <v>2</v>
      </c>
      <c r="C10" s="174">
        <v>3</v>
      </c>
      <c r="D10" s="174">
        <v>3</v>
      </c>
      <c r="E10" s="174">
        <v>3</v>
      </c>
      <c r="F10" s="174">
        <v>3</v>
      </c>
      <c r="G10" s="174">
        <v>3</v>
      </c>
      <c r="H10" s="174">
        <v>3</v>
      </c>
      <c r="I10" s="174">
        <v>3</v>
      </c>
      <c r="J10" s="174">
        <v>3</v>
      </c>
      <c r="K10" s="174">
        <v>2</v>
      </c>
      <c r="L10" s="174">
        <v>2</v>
      </c>
      <c r="M10" s="174">
        <v>2</v>
      </c>
      <c r="N10" s="175"/>
      <c r="O10" s="150" t="s">
        <v>213</v>
      </c>
      <c r="P10" s="176"/>
      <c r="Q10" s="177">
        <v>2</v>
      </c>
      <c r="R10" s="177">
        <v>3</v>
      </c>
      <c r="S10" s="177">
        <v>3</v>
      </c>
      <c r="T10" s="177">
        <v>3</v>
      </c>
      <c r="U10" s="177">
        <v>3</v>
      </c>
      <c r="V10" s="177">
        <v>3</v>
      </c>
      <c r="W10" s="177">
        <v>3</v>
      </c>
      <c r="X10" s="177">
        <v>4</v>
      </c>
      <c r="Y10" s="177">
        <v>4</v>
      </c>
      <c r="Z10" s="177">
        <v>4</v>
      </c>
      <c r="AA10" s="177">
        <v>4</v>
      </c>
      <c r="AB10" s="178">
        <v>4</v>
      </c>
      <c r="AC10" s="179">
        <v>1</v>
      </c>
      <c r="AD10" s="179">
        <v>1</v>
      </c>
      <c r="AE10" s="179">
        <v>1</v>
      </c>
      <c r="AF10" s="179">
        <v>1</v>
      </c>
      <c r="AG10" s="179">
        <v>1</v>
      </c>
      <c r="AH10" s="179">
        <v>1</v>
      </c>
      <c r="AI10" s="179">
        <v>1</v>
      </c>
      <c r="AJ10" s="179">
        <v>1</v>
      </c>
      <c r="AK10" s="179">
        <v>1</v>
      </c>
      <c r="AL10" s="179">
        <v>1</v>
      </c>
      <c r="AM10" s="179">
        <v>1</v>
      </c>
      <c r="AN10" s="180">
        <v>1</v>
      </c>
      <c r="AO10" s="181">
        <v>1</v>
      </c>
      <c r="AP10" s="182">
        <v>2</v>
      </c>
      <c r="AQ10" s="183">
        <v>2</v>
      </c>
      <c r="AR10" s="183">
        <v>2</v>
      </c>
      <c r="AS10" s="183">
        <v>2</v>
      </c>
      <c r="AT10" s="183">
        <v>2</v>
      </c>
      <c r="AU10" s="183">
        <v>2</v>
      </c>
      <c r="AV10" s="183">
        <v>2</v>
      </c>
      <c r="AW10" s="183">
        <v>2</v>
      </c>
      <c r="AX10" s="183">
        <v>2</v>
      </c>
      <c r="AY10" s="183">
        <v>2</v>
      </c>
      <c r="AZ10" s="183">
        <v>2</v>
      </c>
      <c r="BA10" s="183">
        <v>2</v>
      </c>
      <c r="BB10" s="184">
        <v>2</v>
      </c>
      <c r="BC10" s="185">
        <v>2</v>
      </c>
      <c r="BD10" s="185">
        <v>2</v>
      </c>
      <c r="BE10" s="185">
        <v>2</v>
      </c>
      <c r="BF10" s="185">
        <v>2</v>
      </c>
      <c r="BG10" s="185">
        <v>2</v>
      </c>
      <c r="BH10" s="185">
        <v>2</v>
      </c>
      <c r="BI10" s="185">
        <v>2</v>
      </c>
      <c r="BJ10" s="185">
        <v>2</v>
      </c>
      <c r="BK10" s="185">
        <v>2</v>
      </c>
      <c r="BL10" s="185">
        <v>2</v>
      </c>
      <c r="BM10" s="185">
        <v>2</v>
      </c>
      <c r="BN10" s="185">
        <v>2</v>
      </c>
      <c r="BO10" s="184">
        <v>2</v>
      </c>
      <c r="BP10" s="186">
        <v>1</v>
      </c>
      <c r="BQ10" s="187">
        <v>1</v>
      </c>
      <c r="BR10" s="188">
        <v>2</v>
      </c>
      <c r="BS10" s="188">
        <v>2</v>
      </c>
      <c r="BT10" s="188">
        <v>2</v>
      </c>
      <c r="BU10" s="188">
        <v>2</v>
      </c>
      <c r="BV10" s="188">
        <v>2</v>
      </c>
      <c r="BW10" s="188">
        <v>2</v>
      </c>
      <c r="BX10" s="188">
        <v>2</v>
      </c>
      <c r="BY10" s="188">
        <v>2</v>
      </c>
      <c r="BZ10" s="188">
        <v>2</v>
      </c>
      <c r="CA10" s="188">
        <v>2</v>
      </c>
      <c r="CB10" s="189">
        <f t="shared" ref="CB10:CB11" si="38">CA10</f>
        <v>2</v>
      </c>
      <c r="CC10" s="189">
        <v>4</v>
      </c>
      <c r="CD10" s="189">
        <v>4</v>
      </c>
      <c r="CE10" s="189">
        <v>4</v>
      </c>
      <c r="CF10" s="189">
        <v>4</v>
      </c>
      <c r="CG10" s="189">
        <v>4</v>
      </c>
      <c r="CH10" s="189">
        <v>4</v>
      </c>
      <c r="CI10" s="189">
        <v>4</v>
      </c>
      <c r="CJ10" s="189">
        <v>4</v>
      </c>
      <c r="CK10" s="189">
        <v>4</v>
      </c>
      <c r="CL10" s="189">
        <v>4</v>
      </c>
      <c r="CM10" s="189">
        <v>4</v>
      </c>
      <c r="CN10" s="189">
        <v>4</v>
      </c>
      <c r="CO10" s="189">
        <f t="shared" ref="CO10:CO11" si="39">CN10</f>
        <v>4</v>
      </c>
    </row>
    <row r="11" spans="1:93" ht="14">
      <c r="A11" s="157" t="s">
        <v>211</v>
      </c>
      <c r="B11" s="174"/>
      <c r="C11" s="174"/>
      <c r="D11" s="174"/>
      <c r="E11" s="174"/>
      <c r="F11" s="174"/>
      <c r="G11" s="174"/>
      <c r="H11" s="174"/>
      <c r="I11" s="174"/>
      <c r="J11" s="174"/>
      <c r="K11" s="174"/>
      <c r="L11" s="174"/>
      <c r="M11" s="174"/>
      <c r="N11" s="175"/>
      <c r="O11" s="157"/>
      <c r="P11" s="190"/>
      <c r="Q11" s="191"/>
      <c r="R11" s="191"/>
      <c r="S11" s="191"/>
      <c r="T11" s="191"/>
      <c r="U11" s="191"/>
      <c r="V11" s="191"/>
      <c r="W11" s="191"/>
      <c r="X11" s="191"/>
      <c r="Y11" s="191"/>
      <c r="Z11" s="191"/>
      <c r="AA11" s="191"/>
      <c r="AB11" s="192"/>
      <c r="AC11" s="193"/>
      <c r="AD11" s="193"/>
      <c r="AE11" s="193"/>
      <c r="AF11" s="193"/>
      <c r="AG11" s="193"/>
      <c r="AH11" s="193"/>
      <c r="AI11" s="193"/>
      <c r="AJ11" s="193"/>
      <c r="AK11" s="193"/>
      <c r="AL11" s="193"/>
      <c r="AM11" s="193"/>
      <c r="AN11" s="194"/>
      <c r="AO11" s="195"/>
      <c r="AP11" s="196">
        <v>3</v>
      </c>
      <c r="AQ11" s="197">
        <f>1+1+1</f>
        <v>3</v>
      </c>
      <c r="AR11" s="197">
        <v>4</v>
      </c>
      <c r="AS11" s="198">
        <v>4</v>
      </c>
      <c r="AT11" s="198">
        <v>4</v>
      </c>
      <c r="AU11" s="198">
        <v>4</v>
      </c>
      <c r="AV11" s="198">
        <v>4</v>
      </c>
      <c r="AW11" s="198">
        <v>4</v>
      </c>
      <c r="AX11" s="198">
        <v>4</v>
      </c>
      <c r="AY11" s="198">
        <v>4</v>
      </c>
      <c r="AZ11" s="198">
        <v>4</v>
      </c>
      <c r="BA11" s="198">
        <v>4</v>
      </c>
      <c r="BB11" s="159">
        <v>4</v>
      </c>
      <c r="BC11" s="79">
        <v>4</v>
      </c>
      <c r="BD11" s="79">
        <v>4</v>
      </c>
      <c r="BE11" s="79">
        <v>5</v>
      </c>
      <c r="BF11" s="79">
        <v>5</v>
      </c>
      <c r="BG11" s="79">
        <v>5</v>
      </c>
      <c r="BH11" s="79">
        <v>5</v>
      </c>
      <c r="BI11" s="79">
        <v>6</v>
      </c>
      <c r="BJ11" s="79">
        <v>6</v>
      </c>
      <c r="BK11" s="79">
        <v>6</v>
      </c>
      <c r="BL11" s="79">
        <v>6</v>
      </c>
      <c r="BM11" s="79">
        <v>6</v>
      </c>
      <c r="BN11" s="79">
        <v>6</v>
      </c>
      <c r="BO11" s="159">
        <v>6</v>
      </c>
      <c r="BP11" s="199">
        <v>2</v>
      </c>
      <c r="BQ11" s="200">
        <v>2</v>
      </c>
      <c r="BR11" s="201">
        <v>2</v>
      </c>
      <c r="BS11" s="201">
        <v>3</v>
      </c>
      <c r="BT11" s="201">
        <v>3</v>
      </c>
      <c r="BU11" s="201">
        <v>3</v>
      </c>
      <c r="BV11" s="201">
        <v>3</v>
      </c>
      <c r="BW11" s="201">
        <v>3</v>
      </c>
      <c r="BX11" s="201">
        <v>3</v>
      </c>
      <c r="BY11" s="201">
        <v>3</v>
      </c>
      <c r="BZ11" s="201">
        <v>3</v>
      </c>
      <c r="CA11" s="201">
        <v>3</v>
      </c>
      <c r="CB11" s="202">
        <f t="shared" si="38"/>
        <v>3</v>
      </c>
      <c r="CC11" s="202"/>
      <c r="CD11" s="202"/>
      <c r="CE11" s="202"/>
      <c r="CF11" s="202"/>
      <c r="CG11" s="202"/>
      <c r="CH11" s="202"/>
      <c r="CI11" s="202"/>
      <c r="CJ11" s="202"/>
      <c r="CK11" s="202"/>
      <c r="CL11" s="202"/>
      <c r="CM11" s="202"/>
      <c r="CN11" s="202"/>
      <c r="CO11" s="202">
        <f t="shared" si="39"/>
        <v>0</v>
      </c>
    </row>
    <row r="12" spans="1:93" s="66" customFormat="1" ht="14">
      <c r="A12" s="159"/>
      <c r="B12" s="207"/>
      <c r="C12" s="208"/>
      <c r="D12" s="208"/>
      <c r="E12" s="208"/>
      <c r="F12" s="208"/>
      <c r="G12" s="208"/>
      <c r="H12" s="208"/>
      <c r="I12" s="208"/>
      <c r="J12" s="208"/>
      <c r="K12" s="208"/>
      <c r="L12" s="208"/>
      <c r="M12" s="208"/>
      <c r="N12" s="209"/>
      <c r="O12" s="207"/>
      <c r="P12" s="207"/>
      <c r="Q12" s="207"/>
      <c r="R12" s="210"/>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1"/>
      <c r="BP12" s="211"/>
      <c r="BQ12" s="211"/>
      <c r="BR12" s="211"/>
      <c r="BS12" s="211"/>
      <c r="BT12" s="211"/>
      <c r="BU12" s="211"/>
      <c r="BV12" s="211"/>
      <c r="BW12" s="211"/>
      <c r="BX12" s="211"/>
      <c r="BY12" s="211"/>
      <c r="BZ12" s="211"/>
      <c r="CA12" s="211"/>
      <c r="CB12" s="211"/>
      <c r="CC12" s="211"/>
      <c r="CD12" s="211"/>
      <c r="CE12" s="211"/>
      <c r="CF12" s="211"/>
      <c r="CG12" s="211"/>
      <c r="CH12" s="211"/>
      <c r="CI12" s="211"/>
      <c r="CJ12" s="211"/>
      <c r="CK12" s="211"/>
      <c r="CL12" s="211"/>
      <c r="CM12" s="211"/>
      <c r="CN12" s="211"/>
      <c r="CO12" s="211"/>
    </row>
    <row r="13" spans="1:93" ht="30" customHeight="1">
      <c r="A13" s="212" t="s">
        <v>214</v>
      </c>
      <c r="B13" s="213"/>
      <c r="C13" s="213"/>
      <c r="D13" s="213"/>
      <c r="E13" s="213"/>
      <c r="F13" s="213"/>
      <c r="G13" s="213"/>
      <c r="H13" s="213"/>
      <c r="I13" s="213"/>
      <c r="J13" s="213"/>
      <c r="K13" s="213"/>
      <c r="L13" s="213"/>
      <c r="M13" s="213"/>
      <c r="N13" s="214"/>
      <c r="O13" s="212" t="s">
        <v>215</v>
      </c>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3"/>
      <c r="AR13" s="213"/>
      <c r="AS13" s="213"/>
      <c r="AT13" s="213"/>
      <c r="AU13" s="213"/>
      <c r="AV13" s="213"/>
      <c r="AW13" s="213"/>
      <c r="AX13" s="213"/>
      <c r="AY13" s="213"/>
      <c r="AZ13" s="213"/>
      <c r="BA13" s="213"/>
      <c r="BB13" s="215"/>
      <c r="BC13" s="213"/>
      <c r="BD13" s="213"/>
      <c r="BE13" s="213"/>
      <c r="BF13" s="213"/>
      <c r="BG13" s="213"/>
      <c r="BH13" s="213"/>
      <c r="BI13" s="213"/>
      <c r="BJ13" s="213"/>
      <c r="BK13" s="213"/>
      <c r="BL13" s="213"/>
      <c r="BM13" s="213"/>
      <c r="BN13" s="213"/>
      <c r="BO13" s="213"/>
      <c r="BP13" s="213"/>
      <c r="BQ13" s="213"/>
      <c r="BR13" s="213"/>
      <c r="BS13" s="213"/>
      <c r="BT13" s="213"/>
      <c r="BU13" s="213"/>
      <c r="BV13" s="213"/>
      <c r="BW13" s="213"/>
      <c r="BX13" s="213"/>
      <c r="BY13" s="213"/>
      <c r="BZ13" s="213"/>
      <c r="CA13" s="213"/>
      <c r="CB13" s="213"/>
      <c r="CC13" s="213"/>
      <c r="CD13" s="213"/>
      <c r="CE13" s="213"/>
      <c r="CF13" s="213"/>
      <c r="CG13" s="213"/>
      <c r="CH13" s="213"/>
      <c r="CI13" s="213"/>
      <c r="CJ13" s="213"/>
      <c r="CK13" s="213"/>
      <c r="CL13" s="213"/>
      <c r="CM13" s="213"/>
      <c r="CN13" s="213"/>
      <c r="CO13" s="213"/>
    </row>
    <row r="14" spans="1:93" ht="14">
      <c r="A14" s="216" t="s">
        <v>216</v>
      </c>
      <c r="B14" s="217"/>
      <c r="C14" s="217"/>
      <c r="D14" s="217"/>
      <c r="E14" s="217"/>
      <c r="F14" s="217"/>
      <c r="G14" s="217"/>
      <c r="H14" s="217"/>
      <c r="I14" s="217"/>
      <c r="J14" s="217"/>
      <c r="K14" s="217"/>
      <c r="L14" s="217"/>
      <c r="M14" s="217"/>
      <c r="N14" s="218"/>
      <c r="O14" s="216" t="s">
        <v>217</v>
      </c>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9"/>
      <c r="BC14" s="217"/>
      <c r="BD14" s="217"/>
      <c r="BE14" s="217"/>
      <c r="BF14" s="217"/>
      <c r="BG14" s="217"/>
      <c r="BH14" s="217"/>
      <c r="BI14" s="217"/>
      <c r="BJ14" s="217"/>
      <c r="BK14" s="217"/>
      <c r="BL14" s="217"/>
      <c r="BM14" s="217"/>
      <c r="BN14" s="217"/>
      <c r="BO14" s="220"/>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row>
    <row r="15" spans="1:93" ht="39">
      <c r="A15" s="221" t="s">
        <v>218</v>
      </c>
      <c r="B15" s="222" t="e">
        <f>B6*B10+#REF!*#REF!+#REF!*#REF!+#REF!*#REF!+#REF!*#REF!+#REF!*#REF!</f>
        <v>#REF!</v>
      </c>
      <c r="C15" s="222" t="e">
        <f>C6*C10+#REF!*#REF!+#REF!*#REF!+#REF!*#REF!+#REF!*#REF!+#REF!*#REF!</f>
        <v>#REF!</v>
      </c>
      <c r="D15" s="222" t="e">
        <f>D6*D10+#REF!*#REF!+#REF!*#REF!+#REF!*#REF!+#REF!*#REF!+#REF!*#REF!</f>
        <v>#REF!</v>
      </c>
      <c r="E15" s="222" t="e">
        <f>E6*E10+#REF!*#REF!+#REF!*#REF!+#REF!*#REF!+#REF!*#REF!+#REF!*#REF!</f>
        <v>#REF!</v>
      </c>
      <c r="F15" s="222" t="e">
        <f>F6*F10+#REF!*#REF!+#REF!*#REF!+#REF!*#REF!+#REF!*#REF!+#REF!*#REF!</f>
        <v>#REF!</v>
      </c>
      <c r="G15" s="222" t="e">
        <f>G6*G10+#REF!*#REF!+#REF!*#REF!+#REF!*#REF!+#REF!*#REF!+#REF!*#REF!</f>
        <v>#REF!</v>
      </c>
      <c r="H15" s="222" t="e">
        <f>H6*H10+#REF!*#REF!+#REF!*#REF!+#REF!*#REF!+#REF!*#REF!+#REF!*#REF!</f>
        <v>#REF!</v>
      </c>
      <c r="I15" s="222" t="e">
        <f>I6*I10+#REF!*#REF!+#REF!*#REF!+#REF!*#REF!+#REF!*#REF!+#REF!*#REF!</f>
        <v>#REF!</v>
      </c>
      <c r="J15" s="222" t="e">
        <f>J6*J10+#REF!*#REF!+#REF!*#REF!+#REF!*#REF!+#REF!*#REF!+#REF!*#REF!</f>
        <v>#REF!</v>
      </c>
      <c r="K15" s="222" t="e">
        <f>K6*K10+#REF!*#REF!+#REF!*#REF!+#REF!*#REF!+#REF!*#REF!+#REF!*#REF!</f>
        <v>#REF!</v>
      </c>
      <c r="L15" s="222" t="e">
        <f>L6*L10+#REF!*#REF!+#REF!*#REF!+#REF!*#REF!+#REF!*#REF!+#REF!*#REF!</f>
        <v>#REF!</v>
      </c>
      <c r="M15" s="222" t="e">
        <f>M6*M10+#REF!*#REF!+#REF!*#REF!+#REF!*#REF!+#REF!*#REF!+#REF!*#REF!</f>
        <v>#REF!</v>
      </c>
      <c r="N15" s="223" t="e">
        <f t="shared" ref="N15:N17" si="40">SUM(B15:M15)</f>
        <v>#REF!</v>
      </c>
      <c r="O15" s="221" t="s">
        <v>219</v>
      </c>
      <c r="P15" s="222" t="e">
        <f>P6*P10+#REF!*#REF!+#REF!*#REF!+#REF!*#REF!+#REF!*#REF!+#REF!*#REF!</f>
        <v>#VALUE!</v>
      </c>
      <c r="Q15" s="222" t="e">
        <f>Q6*Q10+#REF!*#REF!+#REF!*#REF!+#REF!*#REF!+#REF!*#REF!+#REF!*#REF!</f>
        <v>#VALUE!</v>
      </c>
      <c r="R15" s="222" t="e">
        <f>R6*R10+#REF!*#REF!+#REF!*#REF!+#REF!*#REF!+#REF!*#REF!+#REF!*#REF!</f>
        <v>#VALUE!</v>
      </c>
      <c r="S15" s="222" t="e">
        <f>S6*S10+#REF!*#REF!+#REF!*#REF!+#REF!*#REF!+#REF!*#REF!+#REF!*#REF!</f>
        <v>#VALUE!</v>
      </c>
      <c r="T15" s="222" t="e">
        <f>T6*T10+#REF!*#REF!+#REF!*#REF!+#REF!*#REF!+#REF!*#REF!+#REF!*#REF!</f>
        <v>#VALUE!</v>
      </c>
      <c r="U15" s="222" t="e">
        <f>U6*U10+#REF!*#REF!+#REF!*#REF!+#REF!*#REF!+#REF!*#REF!+#REF!*#REF!</f>
        <v>#VALUE!</v>
      </c>
      <c r="V15" s="222" t="e">
        <f>V6*V10+#REF!*#REF!+#REF!*#REF!+#REF!*#REF!+#REF!*#REF!+#REF!*#REF!</f>
        <v>#VALUE!</v>
      </c>
      <c r="W15" s="222" t="e">
        <f>W6*W10+#REF!*#REF!+#REF!*#REF!+#REF!*#REF!+#REF!*#REF!+#REF!*#REF!</f>
        <v>#VALUE!</v>
      </c>
      <c r="X15" s="222" t="e">
        <f>X6*X10+#REF!*#REF!+#REF!*#REF!+#REF!*#REF!+#REF!*#REF!+#REF!*#REF!</f>
        <v>#VALUE!</v>
      </c>
      <c r="Y15" s="222" t="e">
        <f>Y6*Y10+#REF!*#REF!+#REF!*#REF!+#REF!*#REF!+#REF!*#REF!+#REF!*#REF!</f>
        <v>#VALUE!</v>
      </c>
      <c r="Z15" s="222" t="e">
        <f>Z6*Z10+#REF!*#REF!+#REF!*#REF!+#REF!*#REF!+#REF!*#REF!+#REF!*#REF!</f>
        <v>#VALUE!</v>
      </c>
      <c r="AA15" s="222" t="e">
        <f>AA6*AA10+#REF!*#REF!+#REF!*#REF!+#REF!*#REF!+#REF!*#REF!+#REF!*#REF!</f>
        <v>#VALUE!</v>
      </c>
      <c r="AB15" s="223" t="e">
        <f>SUM(P15:AA15)</f>
        <v>#VALUE!</v>
      </c>
      <c r="AC15" s="222" t="e">
        <f>AC6*AC10+#REF!*#REF!+#REF!*#REF!+#REF!*#REF!+#REF!*#REF!+#REF!*#REF!</f>
        <v>#REF!</v>
      </c>
      <c r="AD15" s="222" t="e">
        <f>AD6*AD10+#REF!*#REF!+#REF!*#REF!+#REF!*#REF!+#REF!*#REF!+#REF!*#REF!</f>
        <v>#REF!</v>
      </c>
      <c r="AE15" s="222" t="e">
        <f>AE6*AE10+#REF!*#REF!+#REF!*#REF!+#REF!*#REF!+#REF!*#REF!+#REF!*#REF!</f>
        <v>#REF!</v>
      </c>
      <c r="AF15" s="222" t="e">
        <f>AF6*AF10+#REF!*#REF!+#REF!*#REF!+#REF!*#REF!+#REF!*#REF!+#REF!*#REF!</f>
        <v>#REF!</v>
      </c>
      <c r="AG15" s="222" t="e">
        <f>AG6*AG10+#REF!*#REF!+#REF!*#REF!+#REF!*#REF!+#REF!*#REF!+#REF!*#REF!</f>
        <v>#REF!</v>
      </c>
      <c r="AH15" s="222" t="e">
        <f>AH6*AH10+#REF!*#REF!+#REF!*#REF!+#REF!*#REF!+#REF!*#REF!+#REF!*#REF!</f>
        <v>#REF!</v>
      </c>
      <c r="AI15" s="222" t="e">
        <f>AI6*AI10+#REF!*#REF!+#REF!*#REF!+#REF!*#REF!+#REF!*#REF!+#REF!*#REF!</f>
        <v>#REF!</v>
      </c>
      <c r="AJ15" s="222" t="e">
        <f>AJ6*AJ10+#REF!*#REF!+#REF!*#REF!+#REF!*#REF!+#REF!*#REF!+#REF!*#REF!</f>
        <v>#REF!</v>
      </c>
      <c r="AK15" s="222" t="e">
        <f>AK6*AK10+#REF!*#REF!+#REF!*#REF!+#REF!*#REF!+#REF!*#REF!+#REF!*#REF!</f>
        <v>#REF!</v>
      </c>
      <c r="AL15" s="222" t="e">
        <f>AL6*AL10+#REF!*#REF!+#REF!*#REF!+#REF!*#REF!+#REF!*#REF!+#REF!*#REF!</f>
        <v>#REF!</v>
      </c>
      <c r="AM15" s="222" t="e">
        <f>AM6*AM10+#REF!*#REF!+#REF!*#REF!+#REF!*#REF!+#REF!*#REF!+#REF!*#REF!</f>
        <v>#REF!</v>
      </c>
      <c r="AN15" s="222" t="e">
        <f>AN6*AN10+#REF!*#REF!+#REF!*#REF!+#REF!*#REF!+#REF!*#REF!+#REF!*#REF!</f>
        <v>#REF!</v>
      </c>
      <c r="AO15" s="223" t="e">
        <f>SUM(AC15:AN15)</f>
        <v>#REF!</v>
      </c>
      <c r="AP15" s="222" t="e">
        <f>AP6*AP10+AP10*AP7+#REF!*#REF!+#REF!*#REF!+#REF!*#REF!+#REF!*#REF!+#REF!*#REF!</f>
        <v>#REF!</v>
      </c>
      <c r="AQ15" s="222" t="e">
        <f>AQ6*AQ10+AQ10*AQ7+#REF!*#REF!+#REF!*#REF!+#REF!*#REF!+#REF!*#REF!+#REF!*#REF!</f>
        <v>#REF!</v>
      </c>
      <c r="AR15" s="222" t="e">
        <f>AR6*AR10+AR10*AR7+#REF!*#REF!+#REF!*#REF!+#REF!*#REF!+#REF!*#REF!+#REF!*#REF!</f>
        <v>#REF!</v>
      </c>
      <c r="AS15" s="222" t="e">
        <f>AS6*AS10+AS10*AS7+#REF!*#REF!+#REF!*#REF!+#REF!*#REF!+#REF!*#REF!+#REF!*#REF!</f>
        <v>#REF!</v>
      </c>
      <c r="AT15" s="222" t="e">
        <f>AT6*AT10+AT10*AT7+#REF!*#REF!+#REF!*#REF!+#REF!*#REF!+#REF!*#REF!+#REF!*#REF!</f>
        <v>#REF!</v>
      </c>
      <c r="AU15" s="222" t="e">
        <f>AU6*AU10+AU10*AU7+#REF!*#REF!+#REF!*#REF!+#REF!*#REF!+#REF!*#REF!+#REF!*#REF!</f>
        <v>#REF!</v>
      </c>
      <c r="AV15" s="222" t="e">
        <f>AV6*AV10+AV10*AV7+#REF!*#REF!+#REF!*#REF!+#REF!*#REF!+#REF!*#REF!+#REF!*#REF!</f>
        <v>#REF!</v>
      </c>
      <c r="AW15" s="222" t="e">
        <f>AW6*AW10+AW10*AW7+#REF!*#REF!+#REF!*#REF!+#REF!*#REF!+#REF!*#REF!+#REF!*#REF!</f>
        <v>#REF!</v>
      </c>
      <c r="AX15" s="222" t="e">
        <f>AX6*AX10+AX10*AX7+#REF!*#REF!+#REF!*#REF!+#REF!*#REF!+#REF!*#REF!+#REF!*#REF!</f>
        <v>#REF!</v>
      </c>
      <c r="AY15" s="222" t="e">
        <f>AY6*AY10+AY10*AY7+#REF!*#REF!+#REF!*#REF!+#REF!*#REF!+#REF!*#REF!+#REF!*#REF!</f>
        <v>#REF!</v>
      </c>
      <c r="AZ15" s="222" t="e">
        <f>AZ6*AZ10+AZ10*AZ7+#REF!*#REF!+#REF!*#REF!+#REF!*#REF!+#REF!*#REF!+#REF!*#REF!</f>
        <v>#REF!</v>
      </c>
      <c r="BA15" s="222" t="e">
        <f>BA6*BA10+BA10*BA7+#REF!*#REF!+#REF!*#REF!+#REF!*#REF!+#REF!*#REF!+#REF!*#REF!</f>
        <v>#REF!</v>
      </c>
      <c r="BB15" s="224" t="e">
        <f>SUM(AP15:BA15)</f>
        <v>#REF!</v>
      </c>
      <c r="BC15" s="222" t="e">
        <f>BC6*BC10+BC10*BC7+#REF!*#REF!+#REF!*#REF!+#REF!*#REF!+#REF!*#REF!+#REF!*#REF!</f>
        <v>#REF!</v>
      </c>
      <c r="BD15" s="222" t="e">
        <f>BD6*BD10+BD10*BD7+#REF!*#REF!+#REF!*#REF!+#REF!*#REF!+#REF!*#REF!+#REF!*#REF!</f>
        <v>#REF!</v>
      </c>
      <c r="BE15" s="222" t="e">
        <f>BE6*BE10+BE10*BE7+#REF!*#REF!+#REF!*#REF!+#REF!*#REF!+#REF!*#REF!+#REF!*#REF!</f>
        <v>#REF!</v>
      </c>
      <c r="BF15" s="222" t="e">
        <f>BF6*BF10+BF11*BF7+#REF!*#REF!+#REF!*#REF!+#REF!*#REF!+#REF!*#REF!+#REF!*#REF!</f>
        <v>#REF!</v>
      </c>
      <c r="BG15" s="222" t="e">
        <f>BG6*BG10+BG11*BG7+#REF!*#REF!+#REF!*#REF!+#REF!*#REF!+#REF!*#REF!+#REF!*#REF!</f>
        <v>#REF!</v>
      </c>
      <c r="BH15" s="222" t="e">
        <f>BH6*BH10+BH11*BH7+#REF!*#REF!+#REF!*#REF!+#REF!*#REF!+#REF!*#REF!+#REF!*#REF!</f>
        <v>#REF!</v>
      </c>
      <c r="BI15" s="222" t="e">
        <f>BI6*BI10+BI11*BI7+#REF!*#REF!+#REF!*#REF!+#REF!*#REF!+#REF!*#REF!+#REF!*#REF!</f>
        <v>#REF!</v>
      </c>
      <c r="BJ15" s="222" t="e">
        <f>BJ6*BJ10+BJ11*BJ7+#REF!*#REF!+#REF!*#REF!+#REF!*#REF!+#REF!*#REF!+#REF!*#REF!</f>
        <v>#REF!</v>
      </c>
      <c r="BK15" s="222" t="e">
        <f>BK6*BK10+BK11*BK7+#REF!*#REF!+#REF!*#REF!+#REF!*#REF!+#REF!*#REF!+#REF!*#REF!</f>
        <v>#REF!</v>
      </c>
      <c r="BL15" s="222" t="e">
        <f>BL6*BL10+BL11*BL7+#REF!*#REF!+#REF!*#REF!+#REF!*#REF!+#REF!*#REF!+#REF!*#REF!</f>
        <v>#REF!</v>
      </c>
      <c r="BM15" s="222" t="e">
        <f>BM6*BM10+BM11*BM7+#REF!*#REF!+#REF!*#REF!+#REF!*#REF!+#REF!*#REF!+#REF!*#REF!</f>
        <v>#REF!</v>
      </c>
      <c r="BN15" s="222" t="e">
        <f>BN6*BN10+BN11*BN7+#REF!*#REF!+#REF!*#REF!+#REF!*#REF!+#REF!*#REF!+#REF!*#REF!</f>
        <v>#REF!</v>
      </c>
      <c r="BO15" s="225" t="e">
        <f>SUM(BC15:BN15)</f>
        <v>#REF!</v>
      </c>
      <c r="BP15" s="226" t="e">
        <f>BP6*BP10+#REF!*#REF!+#REF!*#REF!+#REF!*#REF!+#REF!*#REF!+#REF!*#REF!+BP11*BP7</f>
        <v>#REF!</v>
      </c>
      <c r="BQ15" s="227" t="e">
        <f>BQ6*BQ10+#REF!*#REF!+#REF!*#REF!+#REF!*#REF!+#REF!*#REF!+#REF!*#REF!+BQ11*BQ7</f>
        <v>#REF!</v>
      </c>
      <c r="BR15" s="227" t="e">
        <f>BR6*BR10+#REF!*#REF!+#REF!*#REF!+#REF!*#REF!+#REF!*#REF!+#REF!*#REF!+BR11*BR7</f>
        <v>#REF!</v>
      </c>
      <c r="BS15" s="227" t="e">
        <f>BS6*BS10+#REF!*#REF!+#REF!*#REF!+#REF!*#REF!+#REF!*#REF!+#REF!*#REF!+BS11*BS7</f>
        <v>#REF!</v>
      </c>
      <c r="BT15" s="227" t="e">
        <f>BT6*BT10+#REF!*#REF!+#REF!*#REF!+#REF!*#REF!+#REF!*#REF!+#REF!*#REF!+BT11*BT7</f>
        <v>#REF!</v>
      </c>
      <c r="BU15" s="227" t="e">
        <f>BU6*BU10+#REF!*#REF!+#REF!*#REF!+#REF!*#REF!+#REF!*#REF!+#REF!*#REF!+BU11*BU7</f>
        <v>#REF!</v>
      </c>
      <c r="BV15" s="227" t="e">
        <f>BV6*BV10+#REF!*#REF!+#REF!*#REF!+#REF!*#REF!+#REF!*#REF!+#REF!*#REF!+BV11*BV7</f>
        <v>#REF!</v>
      </c>
      <c r="BW15" s="227" t="e">
        <f>BW6*BW10+#REF!*#REF!+#REF!*#REF!+#REF!*#REF!+#REF!*#REF!+#REF!*#REF!+BW11*BW7</f>
        <v>#REF!</v>
      </c>
      <c r="BX15" s="227" t="e">
        <f>BX6*BX10+#REF!*#REF!+#REF!*#REF!+#REF!*#REF!+#REF!*#REF!+#REF!*#REF!+BX11*BX7</f>
        <v>#REF!</v>
      </c>
      <c r="BY15" s="227" t="e">
        <f>BY6*BY10+#REF!*#REF!+#REF!*#REF!+#REF!*#REF!+#REF!*#REF!+#REF!*#REF!+BY11*BY7</f>
        <v>#REF!</v>
      </c>
      <c r="BZ15" s="227" t="e">
        <f>BZ6*BZ10+#REF!*#REF!+#REF!*#REF!+#REF!*#REF!+#REF!*#REF!+#REF!*#REF!+BZ11*BZ7</f>
        <v>#REF!</v>
      </c>
      <c r="CA15" s="228" t="e">
        <f>CA6*CA10+#REF!*#REF!+#REF!*#REF!+#REF!*#REF!+#REF!*#REF!+#REF!*#REF!+CA11*CA7</f>
        <v>#REF!</v>
      </c>
      <c r="CB15" s="229" t="e">
        <f t="shared" ref="CB15:CB16" si="41">SUM(BP15:CA15)</f>
        <v>#REF!</v>
      </c>
      <c r="CC15" s="228">
        <f>CC6*CC10+CC7*CC11</f>
        <v>120000</v>
      </c>
      <c r="CD15" s="228">
        <f t="shared" ref="CD15:CN15" si="42">CD6*CD10+CD7*CD11</f>
        <v>120000</v>
      </c>
      <c r="CE15" s="228">
        <f t="shared" si="42"/>
        <v>120000</v>
      </c>
      <c r="CF15" s="228">
        <f t="shared" si="42"/>
        <v>120000</v>
      </c>
      <c r="CG15" s="228">
        <f t="shared" si="42"/>
        <v>120000</v>
      </c>
      <c r="CH15" s="228">
        <f t="shared" si="42"/>
        <v>120000</v>
      </c>
      <c r="CI15" s="228">
        <f t="shared" si="42"/>
        <v>120000</v>
      </c>
      <c r="CJ15" s="228">
        <f t="shared" si="42"/>
        <v>120000</v>
      </c>
      <c r="CK15" s="228">
        <f t="shared" si="42"/>
        <v>120000</v>
      </c>
      <c r="CL15" s="228">
        <f t="shared" si="42"/>
        <v>120000</v>
      </c>
      <c r="CM15" s="228">
        <f t="shared" si="42"/>
        <v>120000</v>
      </c>
      <c r="CN15" s="228">
        <f t="shared" si="42"/>
        <v>120000</v>
      </c>
      <c r="CO15" s="229">
        <f t="shared" ref="CO15:CO16" si="43">SUM(CC15:CN15)</f>
        <v>1440000</v>
      </c>
    </row>
    <row r="16" spans="1:93" ht="14">
      <c r="A16" s="230" t="s">
        <v>220</v>
      </c>
      <c r="B16" s="231" t="e">
        <f>SUM(B15:B15)</f>
        <v>#REF!</v>
      </c>
      <c r="C16" s="231" t="e">
        <f>SUM(C15:C15)</f>
        <v>#REF!</v>
      </c>
      <c r="D16" s="231" t="e">
        <f>SUM(D15:D15)</f>
        <v>#REF!</v>
      </c>
      <c r="E16" s="231" t="e">
        <f>SUM(E15:E15)</f>
        <v>#REF!</v>
      </c>
      <c r="F16" s="231" t="e">
        <f>SUM(F15:F15)</f>
        <v>#REF!</v>
      </c>
      <c r="G16" s="231" t="e">
        <f>SUM(G15:G15)</f>
        <v>#REF!</v>
      </c>
      <c r="H16" s="231" t="e">
        <f>SUM(H15:H15)</f>
        <v>#REF!</v>
      </c>
      <c r="I16" s="231" t="e">
        <f>SUM(I15:I15)</f>
        <v>#REF!</v>
      </c>
      <c r="J16" s="231" t="e">
        <f>SUM(J15:J15)</f>
        <v>#REF!</v>
      </c>
      <c r="K16" s="231" t="e">
        <f>SUM(K15:K15)</f>
        <v>#REF!</v>
      </c>
      <c r="L16" s="231" t="e">
        <f>SUM(L15:L15)</f>
        <v>#REF!</v>
      </c>
      <c r="M16" s="231" t="e">
        <f>SUM(M15:M15)</f>
        <v>#REF!</v>
      </c>
      <c r="N16" s="232" t="e">
        <f t="shared" si="40"/>
        <v>#REF!</v>
      </c>
      <c r="O16" s="230" t="s">
        <v>221</v>
      </c>
      <c r="P16" s="231" t="e">
        <f>SUM(P15:P15)</f>
        <v>#VALUE!</v>
      </c>
      <c r="Q16" s="231" t="e">
        <f>SUM(Q15:Q15)</f>
        <v>#VALUE!</v>
      </c>
      <c r="R16" s="231" t="e">
        <f>SUM(R15:R15)</f>
        <v>#VALUE!</v>
      </c>
      <c r="S16" s="231" t="e">
        <f>SUM(S15:S15)</f>
        <v>#VALUE!</v>
      </c>
      <c r="T16" s="231" t="e">
        <f>SUM(T15:T15)</f>
        <v>#VALUE!</v>
      </c>
      <c r="U16" s="231" t="e">
        <f>SUM(U15:U15)</f>
        <v>#VALUE!</v>
      </c>
      <c r="V16" s="231" t="e">
        <f>SUM(V15:V15)</f>
        <v>#VALUE!</v>
      </c>
      <c r="W16" s="231" t="e">
        <f>SUM(W15:W15)</f>
        <v>#VALUE!</v>
      </c>
      <c r="X16" s="231" t="e">
        <f>SUM(X15:X15)</f>
        <v>#VALUE!</v>
      </c>
      <c r="Y16" s="231" t="e">
        <f>SUM(Y15:Y15)</f>
        <v>#VALUE!</v>
      </c>
      <c r="Z16" s="231" t="e">
        <f>SUM(Z15:Z15)</f>
        <v>#VALUE!</v>
      </c>
      <c r="AA16" s="231" t="e">
        <f>SUM(AA15:AA15)</f>
        <v>#VALUE!</v>
      </c>
      <c r="AB16" s="232" t="e">
        <f>SUM(P16:AA16)</f>
        <v>#VALUE!</v>
      </c>
      <c r="AC16" s="231" t="e">
        <f>SUM(AC15:AC15)</f>
        <v>#REF!</v>
      </c>
      <c r="AD16" s="231" t="e">
        <f>SUM(AD15:AD15)</f>
        <v>#REF!</v>
      </c>
      <c r="AE16" s="231" t="e">
        <f>SUM(AE15:AE15)</f>
        <v>#REF!</v>
      </c>
      <c r="AF16" s="231" t="e">
        <f>SUM(AF15:AF15)</f>
        <v>#REF!</v>
      </c>
      <c r="AG16" s="231" t="e">
        <f>SUM(AG15:AG15)</f>
        <v>#REF!</v>
      </c>
      <c r="AH16" s="231" t="e">
        <f>SUM(AH15:AH15)</f>
        <v>#REF!</v>
      </c>
      <c r="AI16" s="231" t="e">
        <f>SUM(AI15:AI15)</f>
        <v>#REF!</v>
      </c>
      <c r="AJ16" s="231" t="e">
        <f>SUM(AJ15:AJ15)</f>
        <v>#REF!</v>
      </c>
      <c r="AK16" s="231" t="e">
        <f>SUM(AK15:AK15)</f>
        <v>#REF!</v>
      </c>
      <c r="AL16" s="231" t="e">
        <f>SUM(AL15:AL15)</f>
        <v>#REF!</v>
      </c>
      <c r="AM16" s="231" t="e">
        <f>SUM(AM15:AM15)</f>
        <v>#REF!</v>
      </c>
      <c r="AN16" s="231" t="e">
        <f>SUM(AN15:AN15)</f>
        <v>#REF!</v>
      </c>
      <c r="AO16" s="232" t="e">
        <f>SUM(AC16:AN16)</f>
        <v>#REF!</v>
      </c>
      <c r="AP16" s="231" t="e">
        <f>SUM(AP15:AP15)</f>
        <v>#REF!</v>
      </c>
      <c r="AQ16" s="231" t="e">
        <f>SUM(AQ15:AQ15)</f>
        <v>#REF!</v>
      </c>
      <c r="AR16" s="231" t="e">
        <f>SUM(AR15:AR15)</f>
        <v>#REF!</v>
      </c>
      <c r="AS16" s="231" t="e">
        <f>SUM(AS15:AS15)</f>
        <v>#REF!</v>
      </c>
      <c r="AT16" s="231" t="e">
        <f>SUM(AT15:AT15)</f>
        <v>#REF!</v>
      </c>
      <c r="AU16" s="231" t="e">
        <f>SUM(AU15:AU15)</f>
        <v>#REF!</v>
      </c>
      <c r="AV16" s="231" t="e">
        <f>SUM(AV15:AV15)</f>
        <v>#REF!</v>
      </c>
      <c r="AW16" s="231" t="e">
        <f>SUM(AW15:AW15)</f>
        <v>#REF!</v>
      </c>
      <c r="AX16" s="231" t="e">
        <f>SUM(AX15:AX15)</f>
        <v>#REF!</v>
      </c>
      <c r="AY16" s="231" t="e">
        <f>SUM(AY15:AY15)</f>
        <v>#REF!</v>
      </c>
      <c r="AZ16" s="231" t="e">
        <f>SUM(AZ15:AZ15)</f>
        <v>#REF!</v>
      </c>
      <c r="BA16" s="231" t="e">
        <f>SUM(BA15:BA15)</f>
        <v>#REF!</v>
      </c>
      <c r="BB16" s="233" t="e">
        <f>SUM(BB15:BB15)</f>
        <v>#REF!</v>
      </c>
      <c r="BC16" s="231" t="e">
        <f>SUM(BC15:BC15)</f>
        <v>#REF!</v>
      </c>
      <c r="BD16" s="231" t="e">
        <f>SUM(BD15:BD15)</f>
        <v>#REF!</v>
      </c>
      <c r="BE16" s="231" t="e">
        <f>SUM(BE15:BE15)</f>
        <v>#REF!</v>
      </c>
      <c r="BF16" s="231" t="e">
        <f>SUM(BF15:BF15)</f>
        <v>#REF!</v>
      </c>
      <c r="BG16" s="231" t="e">
        <f>SUM(BG15:BG15)</f>
        <v>#REF!</v>
      </c>
      <c r="BH16" s="231" t="e">
        <f>SUM(BH15:BH15)</f>
        <v>#REF!</v>
      </c>
      <c r="BI16" s="231" t="e">
        <f>SUM(BI15:BI15)</f>
        <v>#REF!</v>
      </c>
      <c r="BJ16" s="231" t="e">
        <f>SUM(BJ15:BJ15)</f>
        <v>#REF!</v>
      </c>
      <c r="BK16" s="231" t="e">
        <f>SUM(BK15:BK15)</f>
        <v>#REF!</v>
      </c>
      <c r="BL16" s="231" t="e">
        <f>SUM(BL15:BL15)</f>
        <v>#REF!</v>
      </c>
      <c r="BM16" s="231" t="e">
        <f>SUM(BM15:BM15)</f>
        <v>#REF!</v>
      </c>
      <c r="BN16" s="231" t="e">
        <f>SUM(BN15:BN15)</f>
        <v>#REF!</v>
      </c>
      <c r="BO16" s="234" t="e">
        <f>SUM(BO15:BO15)</f>
        <v>#REF!</v>
      </c>
      <c r="BP16" s="235" t="e">
        <f>SUM(BP15:BP15)</f>
        <v>#REF!</v>
      </c>
      <c r="BQ16" s="236" t="e">
        <f>SUM(BQ15:BQ15)</f>
        <v>#REF!</v>
      </c>
      <c r="BR16" s="236" t="e">
        <f>SUM(BR15:BR15)</f>
        <v>#REF!</v>
      </c>
      <c r="BS16" s="236" t="e">
        <f>SUM(BS15:BS15)</f>
        <v>#REF!</v>
      </c>
      <c r="BT16" s="236" t="e">
        <f>SUM(BT15:BT15)</f>
        <v>#REF!</v>
      </c>
      <c r="BU16" s="236" t="e">
        <f>SUM(BU15:BU15)</f>
        <v>#REF!</v>
      </c>
      <c r="BV16" s="236" t="e">
        <f>SUM(BV15:BV15)</f>
        <v>#REF!</v>
      </c>
      <c r="BW16" s="236" t="e">
        <f>SUM(BW15:BW15)</f>
        <v>#REF!</v>
      </c>
      <c r="BX16" s="236" t="e">
        <f>SUM(BX15:BX15)</f>
        <v>#REF!</v>
      </c>
      <c r="BY16" s="236" t="e">
        <f>SUM(BY15:BY15)</f>
        <v>#REF!</v>
      </c>
      <c r="BZ16" s="236" t="e">
        <f>SUM(BZ15:BZ15)</f>
        <v>#REF!</v>
      </c>
      <c r="CA16" s="236" t="e">
        <f>SUM(CA15:CA15)</f>
        <v>#REF!</v>
      </c>
      <c r="CB16" s="237" t="e">
        <f t="shared" si="41"/>
        <v>#REF!</v>
      </c>
      <c r="CC16" s="235">
        <f>SUM(CC15:CC15)</f>
        <v>120000</v>
      </c>
      <c r="CD16" s="236">
        <f>SUM(CD15:CD15)</f>
        <v>120000</v>
      </c>
      <c r="CE16" s="236">
        <f>SUM(CE15:CE15)</f>
        <v>120000</v>
      </c>
      <c r="CF16" s="236">
        <f>SUM(CF15:CF15)</f>
        <v>120000</v>
      </c>
      <c r="CG16" s="236">
        <f>SUM(CG15:CG15)</f>
        <v>120000</v>
      </c>
      <c r="CH16" s="236">
        <f>SUM(CH15:CH15)</f>
        <v>120000</v>
      </c>
      <c r="CI16" s="236">
        <f>SUM(CI15:CI15)</f>
        <v>120000</v>
      </c>
      <c r="CJ16" s="236">
        <f>SUM(CJ15:CJ15)</f>
        <v>120000</v>
      </c>
      <c r="CK16" s="236">
        <f>SUM(CK15:CK15)</f>
        <v>120000</v>
      </c>
      <c r="CL16" s="236">
        <f>SUM(CL15:CL15)</f>
        <v>120000</v>
      </c>
      <c r="CM16" s="236">
        <f>SUM(CM15:CM15)</f>
        <v>120000</v>
      </c>
      <c r="CN16" s="236">
        <f>SUM(CN15:CN15)</f>
        <v>120000</v>
      </c>
      <c r="CO16" s="237">
        <f t="shared" si="43"/>
        <v>1440000</v>
      </c>
    </row>
    <row r="17" spans="1:93" ht="25" customHeight="1">
      <c r="A17" s="238" t="s">
        <v>222</v>
      </c>
      <c r="N17" s="223">
        <f t="shared" si="40"/>
        <v>0</v>
      </c>
      <c r="O17" s="238" t="s">
        <v>223</v>
      </c>
      <c r="P17" s="239"/>
      <c r="Q17" s="240"/>
      <c r="R17" s="240"/>
      <c r="S17" s="240"/>
      <c r="T17" s="240"/>
      <c r="U17" s="240"/>
      <c r="V17" s="240"/>
      <c r="W17" s="240"/>
      <c r="X17" s="240"/>
      <c r="Y17" s="240"/>
      <c r="Z17" s="240"/>
      <c r="AA17" s="241"/>
      <c r="AB17" s="223">
        <v>0</v>
      </c>
      <c r="AO17" s="223">
        <v>0</v>
      </c>
      <c r="BB17" s="224">
        <f>SUM(AP17:BA17)</f>
        <v>0</v>
      </c>
      <c r="BO17" s="224">
        <f>SUM(BC17:BN17)</f>
        <v>0</v>
      </c>
      <c r="BP17" s="242"/>
      <c r="BQ17" s="243"/>
      <c r="BR17" s="243"/>
      <c r="BS17" s="243"/>
      <c r="BT17" s="243"/>
      <c r="BU17" s="243"/>
      <c r="BV17" s="243"/>
      <c r="BW17" s="243"/>
      <c r="BX17" s="243"/>
      <c r="BY17" s="243"/>
      <c r="BZ17" s="243"/>
      <c r="CA17" s="244"/>
      <c r="CB17" s="145"/>
      <c r="CC17" s="242"/>
      <c r="CD17" s="243"/>
      <c r="CE17" s="243"/>
      <c r="CF17" s="243"/>
      <c r="CG17" s="243"/>
      <c r="CH17" s="243"/>
      <c r="CI17" s="243"/>
      <c r="CJ17" s="243"/>
      <c r="CK17" s="243"/>
      <c r="CL17" s="243"/>
      <c r="CM17" s="243"/>
      <c r="CN17" s="244"/>
      <c r="CO17" s="145"/>
    </row>
    <row r="18" spans="1:93" ht="14">
      <c r="A18" s="245" t="s">
        <v>224</v>
      </c>
      <c r="B18" s="246"/>
      <c r="C18" s="246"/>
      <c r="D18" s="246"/>
      <c r="E18" s="246"/>
      <c r="F18" s="246"/>
      <c r="G18" s="246"/>
      <c r="H18" s="246"/>
      <c r="I18" s="246"/>
      <c r="J18" s="247"/>
      <c r="K18" s="247"/>
      <c r="L18" s="247"/>
      <c r="M18" s="247"/>
      <c r="N18" s="223"/>
      <c r="O18" s="245"/>
      <c r="P18" s="248"/>
      <c r="Q18" s="246"/>
      <c r="R18" s="246"/>
      <c r="S18" s="246"/>
      <c r="T18" s="246"/>
      <c r="U18" s="246"/>
      <c r="V18" s="246"/>
      <c r="W18" s="246"/>
      <c r="X18" s="246"/>
      <c r="Y18" s="246"/>
      <c r="Z18" s="246"/>
      <c r="AA18" s="246"/>
      <c r="AB18" s="223"/>
      <c r="AO18" s="223"/>
      <c r="BB18" s="223"/>
      <c r="BC18" s="246"/>
      <c r="BD18" s="246"/>
      <c r="BE18" s="246"/>
      <c r="BF18" s="246"/>
      <c r="BG18" s="246"/>
      <c r="BH18" s="246"/>
      <c r="BI18" s="246"/>
      <c r="BJ18" s="246"/>
      <c r="BK18" s="246"/>
      <c r="BL18" s="246"/>
      <c r="BM18" s="246"/>
      <c r="BN18" s="246"/>
      <c r="BO18" s="223"/>
      <c r="BP18" s="249" t="e">
        <f>#REF!*750</f>
        <v>#REF!</v>
      </c>
      <c r="BQ18" s="249" t="e">
        <f>#REF!*750</f>
        <v>#REF!</v>
      </c>
      <c r="BR18" s="249" t="e">
        <f>#REF!*750</f>
        <v>#REF!</v>
      </c>
      <c r="BS18" s="249" t="e">
        <f>#REF!*750</f>
        <v>#REF!</v>
      </c>
      <c r="BT18" s="249" t="e">
        <f>#REF!*750</f>
        <v>#REF!</v>
      </c>
      <c r="BU18" s="249" t="e">
        <f>#REF!*750</f>
        <v>#REF!</v>
      </c>
      <c r="BV18" s="249" t="e">
        <f>#REF!*750</f>
        <v>#REF!</v>
      </c>
      <c r="BW18" s="249" t="e">
        <f>#REF!*750</f>
        <v>#REF!</v>
      </c>
      <c r="BX18" s="249" t="e">
        <f>#REF!*750</f>
        <v>#REF!</v>
      </c>
      <c r="BY18" s="249" t="e">
        <f>#REF!*750</f>
        <v>#REF!</v>
      </c>
      <c r="BZ18" s="249" t="e">
        <f>#REF!*750</f>
        <v>#REF!</v>
      </c>
      <c r="CA18" s="250" t="e">
        <f>#REF!*750</f>
        <v>#REF!</v>
      </c>
      <c r="CB18" s="251" t="e">
        <f t="shared" ref="CB18:CB19" si="44">SUM(BP18:CA18)</f>
        <v>#REF!</v>
      </c>
      <c r="CC18" s="249"/>
      <c r="CD18" s="249"/>
      <c r="CE18" s="249"/>
      <c r="CF18" s="249"/>
      <c r="CG18" s="249"/>
      <c r="CH18" s="249"/>
      <c r="CI18" s="249"/>
      <c r="CJ18" s="249"/>
      <c r="CK18" s="249"/>
      <c r="CL18" s="249"/>
      <c r="CM18" s="249"/>
      <c r="CN18" s="249"/>
      <c r="CO18" s="251">
        <f t="shared" ref="CO18:CO19" si="45">SUM(CC18:CN18)</f>
        <v>0</v>
      </c>
    </row>
    <row r="19" spans="1:93" ht="14">
      <c r="A19" s="245" t="s">
        <v>225</v>
      </c>
      <c r="B19" s="246">
        <v>4500</v>
      </c>
      <c r="C19" s="246">
        <v>4500</v>
      </c>
      <c r="D19" s="246">
        <v>5500</v>
      </c>
      <c r="E19" s="246">
        <v>6500</v>
      </c>
      <c r="F19" s="246">
        <v>6500</v>
      </c>
      <c r="G19" s="246">
        <v>6500</v>
      </c>
      <c r="H19" s="246">
        <v>6500</v>
      </c>
      <c r="I19" s="246">
        <v>6500</v>
      </c>
      <c r="J19" s="246">
        <v>6500</v>
      </c>
      <c r="K19" s="246">
        <v>6500</v>
      </c>
      <c r="L19" s="246">
        <v>6500</v>
      </c>
      <c r="M19" s="246">
        <v>6500</v>
      </c>
      <c r="N19" s="223">
        <f t="shared" ref="N19:N21" si="46">SUM(B19:M19)</f>
        <v>73000</v>
      </c>
      <c r="O19" s="245" t="s">
        <v>226</v>
      </c>
      <c r="P19" s="253"/>
      <c r="Q19" s="254"/>
      <c r="R19" s="254"/>
      <c r="S19" s="254"/>
      <c r="T19" s="254"/>
      <c r="U19" s="254"/>
      <c r="V19" s="254"/>
      <c r="W19" s="254"/>
      <c r="X19" s="254"/>
      <c r="Y19" s="254"/>
      <c r="Z19" s="254"/>
      <c r="AA19" s="255"/>
      <c r="AB19" s="223">
        <f t="shared" ref="AB19:AB21" si="47">SUM(P19:AA19)</f>
        <v>0</v>
      </c>
      <c r="AC19" s="252" t="e">
        <f>#REF!*549</f>
        <v>#REF!</v>
      </c>
      <c r="AO19" s="223" t="e">
        <f t="shared" ref="AO19:AO24" si="48">SUM(AC19:AN19)</f>
        <v>#REF!</v>
      </c>
      <c r="BB19" s="224">
        <f t="shared" ref="BB19" si="49">SUM(AP19:BA19)</f>
        <v>0</v>
      </c>
      <c r="BO19" s="224">
        <f t="shared" ref="BO19" si="50">SUM(BC19:BN19)</f>
        <v>0</v>
      </c>
      <c r="BP19" s="256" t="e">
        <f>#REF!*750</f>
        <v>#REF!</v>
      </c>
      <c r="BQ19" s="256" t="e">
        <f>#REF!*750</f>
        <v>#REF!</v>
      </c>
      <c r="BR19" s="256" t="e">
        <f>#REF!*750</f>
        <v>#REF!</v>
      </c>
      <c r="BS19" s="256" t="e">
        <f>#REF!*750</f>
        <v>#REF!</v>
      </c>
      <c r="BT19" s="256" t="e">
        <f>#REF!*750</f>
        <v>#REF!</v>
      </c>
      <c r="BU19" s="256" t="e">
        <f>#REF!*750</f>
        <v>#REF!</v>
      </c>
      <c r="BV19" s="256" t="e">
        <f>#REF!*750</f>
        <v>#REF!</v>
      </c>
      <c r="BW19" s="256" t="e">
        <f>#REF!*750</f>
        <v>#REF!</v>
      </c>
      <c r="BX19" s="256" t="e">
        <f>#REF!*750</f>
        <v>#REF!</v>
      </c>
      <c r="BY19" s="256" t="e">
        <f>#REF!*750</f>
        <v>#REF!</v>
      </c>
      <c r="BZ19" s="256" t="e">
        <f>#REF!*750</f>
        <v>#REF!</v>
      </c>
      <c r="CA19" s="257" t="e">
        <f>#REF!*750</f>
        <v>#REF!</v>
      </c>
      <c r="CB19" s="258" t="e">
        <f t="shared" si="44"/>
        <v>#REF!</v>
      </c>
      <c r="CC19" s="256"/>
      <c r="CD19" s="256"/>
      <c r="CE19" s="256"/>
      <c r="CF19" s="256"/>
      <c r="CG19" s="256"/>
      <c r="CH19" s="256"/>
      <c r="CI19" s="256"/>
      <c r="CJ19" s="256"/>
      <c r="CK19" s="256"/>
      <c r="CL19" s="256"/>
      <c r="CM19" s="256"/>
      <c r="CN19" s="257"/>
      <c r="CO19" s="258">
        <f t="shared" si="45"/>
        <v>0</v>
      </c>
    </row>
    <row r="20" spans="1:93" ht="14">
      <c r="A20" s="230" t="s">
        <v>227</v>
      </c>
      <c r="B20" s="231">
        <f>SUM(B19:B19)</f>
        <v>4500</v>
      </c>
      <c r="C20" s="231">
        <f>SUM(C19:C19)</f>
        <v>4500</v>
      </c>
      <c r="D20" s="231">
        <f>SUM(D19:D19)</f>
        <v>5500</v>
      </c>
      <c r="E20" s="231">
        <f>SUM(E19:E19)</f>
        <v>6500</v>
      </c>
      <c r="F20" s="231">
        <f>SUM(F19:F19)</f>
        <v>6500</v>
      </c>
      <c r="G20" s="231">
        <f>SUM(G19:G19)</f>
        <v>6500</v>
      </c>
      <c r="H20" s="231">
        <f>SUM(H19:H19)</f>
        <v>6500</v>
      </c>
      <c r="I20" s="231">
        <f>SUM(I19:I19)</f>
        <v>6500</v>
      </c>
      <c r="J20" s="231">
        <f>SUM(J19:J19)</f>
        <v>6500</v>
      </c>
      <c r="K20" s="231">
        <f>SUM(K19:K19)</f>
        <v>6500</v>
      </c>
      <c r="L20" s="231">
        <f>SUM(L19:L19)</f>
        <v>6500</v>
      </c>
      <c r="M20" s="231">
        <f>SUM(M19:M19)</f>
        <v>6500</v>
      </c>
      <c r="N20" s="232">
        <f t="shared" si="46"/>
        <v>73000</v>
      </c>
      <c r="O20" s="230" t="s">
        <v>228</v>
      </c>
      <c r="P20" s="231">
        <f>SUM(P19:P19)</f>
        <v>0</v>
      </c>
      <c r="Q20" s="231">
        <f>SUM(Q19:Q19)</f>
        <v>0</v>
      </c>
      <c r="R20" s="231">
        <f>SUM(R19:R19)</f>
        <v>0</v>
      </c>
      <c r="S20" s="231">
        <f>SUM(S19:S19)</f>
        <v>0</v>
      </c>
      <c r="T20" s="231">
        <f>SUM(T19:T19)</f>
        <v>0</v>
      </c>
      <c r="U20" s="231">
        <f>SUM(U19:U19)</f>
        <v>0</v>
      </c>
      <c r="V20" s="231">
        <f>SUM(V19:V19)</f>
        <v>0</v>
      </c>
      <c r="W20" s="231">
        <f>SUM(W19:W19)</f>
        <v>0</v>
      </c>
      <c r="X20" s="231">
        <f>SUM(X19:X19)</f>
        <v>0</v>
      </c>
      <c r="Y20" s="231">
        <f>SUM(Y19:Y19)</f>
        <v>0</v>
      </c>
      <c r="Z20" s="231">
        <f>SUM(Z19:Z19)</f>
        <v>0</v>
      </c>
      <c r="AA20" s="231">
        <f>SUM(AA19:AA19)</f>
        <v>0</v>
      </c>
      <c r="AB20" s="232">
        <f t="shared" si="47"/>
        <v>0</v>
      </c>
      <c r="AC20" s="231" t="e">
        <f>SUM(AC19:AC19)</f>
        <v>#REF!</v>
      </c>
      <c r="AD20" s="231">
        <f>SUM(AD19:AD19)</f>
        <v>0</v>
      </c>
      <c r="AE20" s="231">
        <f>SUM(AE19:AE19)</f>
        <v>0</v>
      </c>
      <c r="AF20" s="231">
        <f>SUM(AF19:AF19)</f>
        <v>0</v>
      </c>
      <c r="AG20" s="231">
        <f>SUM(AG19:AG19)</f>
        <v>0</v>
      </c>
      <c r="AH20" s="231">
        <f>SUM(AH19:AH19)</f>
        <v>0</v>
      </c>
      <c r="AI20" s="231">
        <f>SUM(AI19:AI19)</f>
        <v>0</v>
      </c>
      <c r="AJ20" s="231">
        <f>SUM(AJ19:AJ19)</f>
        <v>0</v>
      </c>
      <c r="AK20" s="231">
        <f>SUM(AK19:AK19)</f>
        <v>0</v>
      </c>
      <c r="AL20" s="231">
        <f>SUM(AL19:AL19)</f>
        <v>0</v>
      </c>
      <c r="AM20" s="231">
        <f>SUM(AM19:AM19)</f>
        <v>0</v>
      </c>
      <c r="AN20" s="231">
        <f>SUM(AN19:AN19)</f>
        <v>0</v>
      </c>
      <c r="AO20" s="232" t="e">
        <f t="shared" si="48"/>
        <v>#REF!</v>
      </c>
      <c r="AP20" s="231">
        <f>SUM(AP19:AP19)</f>
        <v>0</v>
      </c>
      <c r="AQ20" s="231">
        <f>SUM(AQ19:AQ19)</f>
        <v>0</v>
      </c>
      <c r="AR20" s="231">
        <f>SUM(AR19:AR19)</f>
        <v>0</v>
      </c>
      <c r="AS20" s="231">
        <f>SUM(AS19:AS19)</f>
        <v>0</v>
      </c>
      <c r="AT20" s="231">
        <f>SUM(AT19:AT19)</f>
        <v>0</v>
      </c>
      <c r="AU20" s="231">
        <f>SUM(AU19:AU19)</f>
        <v>0</v>
      </c>
      <c r="AV20" s="231">
        <f>SUM(AV19:AV19)</f>
        <v>0</v>
      </c>
      <c r="AW20" s="231">
        <f>SUM(AW19:AW19)</f>
        <v>0</v>
      </c>
      <c r="AX20" s="231">
        <f>SUM(AX19:AX19)</f>
        <v>0</v>
      </c>
      <c r="AY20" s="231">
        <f>SUM(AY19:AY19)</f>
        <v>0</v>
      </c>
      <c r="AZ20" s="231">
        <f>SUM(AZ19:AZ19)</f>
        <v>0</v>
      </c>
      <c r="BA20" s="231">
        <f>SUM(BA19:BA19)</f>
        <v>0</v>
      </c>
      <c r="BB20" s="233">
        <f>SUM(BB19:BB19)</f>
        <v>0</v>
      </c>
      <c r="BC20" s="231">
        <f>SUM(BC19:BC19)</f>
        <v>0</v>
      </c>
      <c r="BD20" s="231">
        <f>SUM(BD19:BD19)</f>
        <v>0</v>
      </c>
      <c r="BE20" s="231">
        <f>SUM(BE19:BE19)</f>
        <v>0</v>
      </c>
      <c r="BF20" s="231">
        <f>SUM(BF19:BF19)</f>
        <v>0</v>
      </c>
      <c r="BG20" s="231">
        <f>SUM(BG19:BG19)</f>
        <v>0</v>
      </c>
      <c r="BH20" s="231">
        <f>SUM(BH19:BH19)</f>
        <v>0</v>
      </c>
      <c r="BI20" s="231">
        <f>SUM(BI19:BI19)</f>
        <v>0</v>
      </c>
      <c r="BJ20" s="231">
        <f>SUM(BJ19:BJ19)</f>
        <v>0</v>
      </c>
      <c r="BK20" s="231">
        <f>SUM(BK19:BK19)</f>
        <v>0</v>
      </c>
      <c r="BL20" s="231">
        <f>SUM(BL19:BL19)</f>
        <v>0</v>
      </c>
      <c r="BM20" s="231">
        <f>SUM(BM19:BM19)</f>
        <v>0</v>
      </c>
      <c r="BN20" s="231">
        <f>SUM(BN19:BN19)</f>
        <v>0</v>
      </c>
      <c r="BO20" s="234">
        <f>SUM(BO19:BO19)</f>
        <v>0</v>
      </c>
      <c r="BP20" s="259" t="e">
        <f>#REF!+#REF!+BP19</f>
        <v>#REF!</v>
      </c>
      <c r="BQ20" s="259" t="e">
        <f>#REF!+#REF!+BQ19</f>
        <v>#REF!</v>
      </c>
      <c r="BR20" s="259" t="e">
        <f>#REF!+#REF!+BR19</f>
        <v>#REF!</v>
      </c>
      <c r="BS20" s="259" t="e">
        <f>#REF!+#REF!+BS19</f>
        <v>#REF!</v>
      </c>
      <c r="BT20" s="259" t="e">
        <f>#REF!+#REF!+BT19</f>
        <v>#REF!</v>
      </c>
      <c r="BU20" s="259" t="e">
        <f>#REF!+#REF!+BU19</f>
        <v>#REF!</v>
      </c>
      <c r="BV20" s="259" t="e">
        <f>#REF!+#REF!+BV19</f>
        <v>#REF!</v>
      </c>
      <c r="BW20" s="259" t="e">
        <f>#REF!+#REF!+BW19</f>
        <v>#REF!</v>
      </c>
      <c r="BX20" s="259" t="e">
        <f>#REF!+#REF!+BX19</f>
        <v>#REF!</v>
      </c>
      <c r="BY20" s="259" t="e">
        <f>#REF!+#REF!+BY19</f>
        <v>#REF!</v>
      </c>
      <c r="BZ20" s="259" t="e">
        <f>#REF!+#REF!+BZ19</f>
        <v>#REF!</v>
      </c>
      <c r="CA20" s="259" t="e">
        <f>#REF!+#REF!+CA19</f>
        <v>#REF!</v>
      </c>
      <c r="CB20" s="235" t="e">
        <f>#REF!+#REF!+CB19+CB18</f>
        <v>#REF!</v>
      </c>
      <c r="CC20" s="259">
        <f>CC19+CC18+CC17</f>
        <v>0</v>
      </c>
      <c r="CD20" s="259">
        <f t="shared" ref="CD20:CN20" si="51">CD19+CD18+CD17</f>
        <v>0</v>
      </c>
      <c r="CE20" s="259">
        <f t="shared" si="51"/>
        <v>0</v>
      </c>
      <c r="CF20" s="259">
        <f t="shared" si="51"/>
        <v>0</v>
      </c>
      <c r="CG20" s="259">
        <f t="shared" si="51"/>
        <v>0</v>
      </c>
      <c r="CH20" s="259">
        <f t="shared" si="51"/>
        <v>0</v>
      </c>
      <c r="CI20" s="259">
        <f t="shared" si="51"/>
        <v>0</v>
      </c>
      <c r="CJ20" s="259">
        <f t="shared" si="51"/>
        <v>0</v>
      </c>
      <c r="CK20" s="259">
        <f t="shared" si="51"/>
        <v>0</v>
      </c>
      <c r="CL20" s="259">
        <f t="shared" si="51"/>
        <v>0</v>
      </c>
      <c r="CM20" s="259">
        <f t="shared" si="51"/>
        <v>0</v>
      </c>
      <c r="CN20" s="259">
        <f t="shared" si="51"/>
        <v>0</v>
      </c>
      <c r="CO20" s="235" t="e">
        <f>#REF!+#REF!+CO19+CO18</f>
        <v>#REF!</v>
      </c>
    </row>
    <row r="21" spans="1:93" ht="14">
      <c r="A21" s="260" t="s">
        <v>229</v>
      </c>
      <c r="N21" s="223">
        <f t="shared" si="46"/>
        <v>0</v>
      </c>
      <c r="O21" s="260" t="s">
        <v>230</v>
      </c>
      <c r="AB21" s="223">
        <f t="shared" si="47"/>
        <v>0</v>
      </c>
      <c r="AO21" s="223">
        <f t="shared" si="48"/>
        <v>0</v>
      </c>
      <c r="BB21" s="224">
        <f t="shared" ref="BB21:BB24" si="52">SUM(AP21:BA21)</f>
        <v>0</v>
      </c>
      <c r="BO21" s="224">
        <f t="shared" ref="BO21:BO24" si="53">SUM(BC21:BN21)</f>
        <v>0</v>
      </c>
      <c r="BP21" s="242"/>
      <c r="BQ21" s="243"/>
      <c r="BR21" s="243"/>
      <c r="BS21" s="243"/>
      <c r="BT21" s="243"/>
      <c r="BU21" s="243"/>
      <c r="BV21" s="243"/>
      <c r="BW21" s="243"/>
      <c r="BX21" s="243"/>
      <c r="BY21" s="243"/>
      <c r="BZ21" s="243"/>
      <c r="CA21" s="261"/>
      <c r="CB21" s="223">
        <f t="shared" ref="CB21:CB32" si="54">SUM(BP21:CA21)</f>
        <v>0</v>
      </c>
      <c r="CC21" s="242"/>
      <c r="CD21" s="243"/>
      <c r="CE21" s="243"/>
      <c r="CF21" s="243"/>
      <c r="CG21" s="243"/>
      <c r="CH21" s="243"/>
      <c r="CI21" s="243"/>
      <c r="CJ21" s="243"/>
      <c r="CK21" s="243"/>
      <c r="CL21" s="243"/>
      <c r="CM21" s="243"/>
      <c r="CN21" s="261"/>
      <c r="CO21" s="223">
        <f t="shared" ref="CO21:CO32" si="55">SUM(CC21:CN21)</f>
        <v>0</v>
      </c>
    </row>
    <row r="22" spans="1:93" ht="14">
      <c r="A22" s="245" t="s">
        <v>231</v>
      </c>
      <c r="B22" s="245"/>
      <c r="C22" s="245"/>
      <c r="D22" s="245"/>
      <c r="N22" s="223"/>
      <c r="O22" s="245" t="s">
        <v>232</v>
      </c>
      <c r="AB22" s="223"/>
      <c r="AO22" s="223">
        <f t="shared" si="48"/>
        <v>0</v>
      </c>
      <c r="BB22" s="224">
        <f t="shared" si="52"/>
        <v>0</v>
      </c>
      <c r="BO22" s="224">
        <f t="shared" si="53"/>
        <v>0</v>
      </c>
      <c r="BP22" s="262"/>
      <c r="BQ22" s="263"/>
      <c r="BR22" s="263"/>
      <c r="BS22" s="263"/>
      <c r="BT22" s="263"/>
      <c r="BU22" s="263"/>
      <c r="BV22" s="263"/>
      <c r="BW22" s="263"/>
      <c r="BX22" s="263"/>
      <c r="BY22" s="263"/>
      <c r="BZ22" s="263"/>
      <c r="CA22" s="244"/>
      <c r="CB22" s="223">
        <f t="shared" si="54"/>
        <v>0</v>
      </c>
      <c r="CC22" s="262"/>
      <c r="CD22" s="263"/>
      <c r="CE22" s="263"/>
      <c r="CF22" s="263"/>
      <c r="CG22" s="263"/>
      <c r="CH22" s="263"/>
      <c r="CI22" s="263"/>
      <c r="CJ22" s="263"/>
      <c r="CK22" s="263"/>
      <c r="CL22" s="263"/>
      <c r="CM22" s="263"/>
      <c r="CN22" s="244"/>
      <c r="CO22" s="223">
        <f t="shared" si="55"/>
        <v>0</v>
      </c>
    </row>
    <row r="23" spans="1:93" ht="14">
      <c r="A23" s="245" t="s">
        <v>233</v>
      </c>
      <c r="B23" s="246" t="e">
        <f>(((($N$16+$N$20)/12)/30)*7/12)*0.25-503</f>
        <v>#REF!</v>
      </c>
      <c r="C23" s="246" t="e">
        <f>(((($N$16+$N$20)/12)/30)*7/12)*0.25-503</f>
        <v>#REF!</v>
      </c>
      <c r="D23" s="246" t="e">
        <f>(((($N$16+$N$20)/12)/30)*7/12)*0.25-503</f>
        <v>#REF!</v>
      </c>
      <c r="E23" s="246" t="e">
        <f>(((($N$16+$N$20)/12)/30)*7/12)*0.25-503</f>
        <v>#REF!</v>
      </c>
      <c r="F23" s="246" t="e">
        <f>(((($N$16+$N$20)/12)/30)*7/12)*0.25-503</f>
        <v>#REF!</v>
      </c>
      <c r="G23" s="246" t="e">
        <f>(((($N$16+$N$20)/12)/30)*7/12)*0.25-503</f>
        <v>#REF!</v>
      </c>
      <c r="H23" s="246" t="e">
        <f>(((($N$16+$N$20)/12)/30)*7/12)*0.25-503</f>
        <v>#REF!</v>
      </c>
      <c r="I23" s="246" t="e">
        <f>(((($N$16+$N$20)/12)/30)*7/12)*0.25-503</f>
        <v>#REF!</v>
      </c>
      <c r="J23" s="246" t="e">
        <f>(((($N$16+$N$20)/12)/30)*7/12)*0.25-503</f>
        <v>#REF!</v>
      </c>
      <c r="K23" s="246" t="e">
        <f>(((($N$16+$N$20)/12)/30)*7/12)*0.25-503</f>
        <v>#REF!</v>
      </c>
      <c r="L23" s="246" t="e">
        <f>(((($N$16+$N$20)/12)/30)*7/12)*0.25-503</f>
        <v>#REF!</v>
      </c>
      <c r="M23" s="246" t="e">
        <f>(((($N$16+$N$20)/12)/30)*7/12)*0.25-503</f>
        <v>#REF!</v>
      </c>
      <c r="N23" s="223" t="e">
        <f t="shared" ref="N23:N27" si="56">SUM(B23:M23)</f>
        <v>#REF!</v>
      </c>
      <c r="O23" s="245" t="s">
        <v>234</v>
      </c>
      <c r="P23" s="246" t="e">
        <f t="shared" ref="P23:AA23" si="57">((($AB$16/12)/30.5)*7/12)*0.25+70</f>
        <v>#VALUE!</v>
      </c>
      <c r="Q23" s="246" t="e">
        <f t="shared" si="57"/>
        <v>#VALUE!</v>
      </c>
      <c r="R23" s="246" t="e">
        <f t="shared" si="57"/>
        <v>#VALUE!</v>
      </c>
      <c r="S23" s="246" t="e">
        <f t="shared" si="57"/>
        <v>#VALUE!</v>
      </c>
      <c r="T23" s="246" t="e">
        <f t="shared" si="57"/>
        <v>#VALUE!</v>
      </c>
      <c r="U23" s="246" t="e">
        <f t="shared" si="57"/>
        <v>#VALUE!</v>
      </c>
      <c r="V23" s="246" t="e">
        <f t="shared" si="57"/>
        <v>#VALUE!</v>
      </c>
      <c r="W23" s="246" t="e">
        <f t="shared" si="57"/>
        <v>#VALUE!</v>
      </c>
      <c r="X23" s="246" t="e">
        <f t="shared" si="57"/>
        <v>#VALUE!</v>
      </c>
      <c r="Y23" s="246" t="e">
        <f t="shared" si="57"/>
        <v>#VALUE!</v>
      </c>
      <c r="Z23" s="246" t="e">
        <f t="shared" si="57"/>
        <v>#VALUE!</v>
      </c>
      <c r="AA23" s="246" t="e">
        <f t="shared" si="57"/>
        <v>#VALUE!</v>
      </c>
      <c r="AB23" s="223" t="e">
        <f>SUM(P23:AA23)</f>
        <v>#VALUE!</v>
      </c>
      <c r="AC23" s="246" t="e">
        <f t="shared" ref="AC23:AN23" si="58">((($AO$16/12)/30.5)*7/12)*0.25+70</f>
        <v>#REF!</v>
      </c>
      <c r="AD23" s="246" t="e">
        <f t="shared" si="58"/>
        <v>#REF!</v>
      </c>
      <c r="AE23" s="246" t="e">
        <f t="shared" si="58"/>
        <v>#REF!</v>
      </c>
      <c r="AF23" s="246" t="e">
        <f t="shared" si="58"/>
        <v>#REF!</v>
      </c>
      <c r="AG23" s="246" t="e">
        <f t="shared" si="58"/>
        <v>#REF!</v>
      </c>
      <c r="AH23" s="246" t="e">
        <f t="shared" si="58"/>
        <v>#REF!</v>
      </c>
      <c r="AI23" s="246" t="e">
        <f t="shared" si="58"/>
        <v>#REF!</v>
      </c>
      <c r="AJ23" s="246" t="e">
        <f t="shared" si="58"/>
        <v>#REF!</v>
      </c>
      <c r="AK23" s="246" t="e">
        <f t="shared" si="58"/>
        <v>#REF!</v>
      </c>
      <c r="AL23" s="246" t="e">
        <f t="shared" si="58"/>
        <v>#REF!</v>
      </c>
      <c r="AM23" s="246" t="e">
        <f t="shared" si="58"/>
        <v>#REF!</v>
      </c>
      <c r="AN23" s="246" t="e">
        <f t="shared" si="58"/>
        <v>#REF!</v>
      </c>
      <c r="AO23" s="223" t="e">
        <f>SUM(AC23:AN23)</f>
        <v>#REF!</v>
      </c>
      <c r="AP23" s="264" t="e">
        <f t="shared" ref="AP23:BA23" si="59">((($BB$16/12)/30.5)*7/12)*0.25+70</f>
        <v>#REF!</v>
      </c>
      <c r="AQ23" s="264" t="e">
        <f t="shared" si="59"/>
        <v>#REF!</v>
      </c>
      <c r="AR23" s="264" t="e">
        <f t="shared" si="59"/>
        <v>#REF!</v>
      </c>
      <c r="AS23" s="264" t="e">
        <f t="shared" si="59"/>
        <v>#REF!</v>
      </c>
      <c r="AT23" s="264" t="e">
        <f t="shared" si="59"/>
        <v>#REF!</v>
      </c>
      <c r="AU23" s="264" t="e">
        <f t="shared" si="59"/>
        <v>#REF!</v>
      </c>
      <c r="AV23" s="264" t="e">
        <f t="shared" si="59"/>
        <v>#REF!</v>
      </c>
      <c r="AW23" s="264" t="e">
        <f t="shared" si="59"/>
        <v>#REF!</v>
      </c>
      <c r="AX23" s="264" t="e">
        <f t="shared" si="59"/>
        <v>#REF!</v>
      </c>
      <c r="AY23" s="264" t="e">
        <f t="shared" si="59"/>
        <v>#REF!</v>
      </c>
      <c r="AZ23" s="264" t="e">
        <f t="shared" si="59"/>
        <v>#REF!</v>
      </c>
      <c r="BA23" s="264" t="e">
        <f t="shared" si="59"/>
        <v>#REF!</v>
      </c>
      <c r="BB23" s="265" t="e">
        <f t="shared" si="52"/>
        <v>#REF!</v>
      </c>
      <c r="BC23" s="264" t="e">
        <f t="shared" ref="BC23:BN23" si="60">((($BO$16/12)/30.5)*7/12)*0.25+70</f>
        <v>#REF!</v>
      </c>
      <c r="BD23" s="264" t="e">
        <f t="shared" si="60"/>
        <v>#REF!</v>
      </c>
      <c r="BE23" s="264" t="e">
        <f t="shared" si="60"/>
        <v>#REF!</v>
      </c>
      <c r="BF23" s="264" t="e">
        <f t="shared" si="60"/>
        <v>#REF!</v>
      </c>
      <c r="BG23" s="264" t="e">
        <f t="shared" si="60"/>
        <v>#REF!</v>
      </c>
      <c r="BH23" s="264" t="e">
        <f t="shared" si="60"/>
        <v>#REF!</v>
      </c>
      <c r="BI23" s="264" t="e">
        <f t="shared" si="60"/>
        <v>#REF!</v>
      </c>
      <c r="BJ23" s="264" t="e">
        <f t="shared" si="60"/>
        <v>#REF!</v>
      </c>
      <c r="BK23" s="264" t="e">
        <f t="shared" si="60"/>
        <v>#REF!</v>
      </c>
      <c r="BL23" s="264" t="e">
        <f t="shared" si="60"/>
        <v>#REF!</v>
      </c>
      <c r="BM23" s="264" t="e">
        <f t="shared" si="60"/>
        <v>#REF!</v>
      </c>
      <c r="BN23" s="264" t="e">
        <f t="shared" si="60"/>
        <v>#REF!</v>
      </c>
      <c r="BO23" s="265" t="e">
        <f t="shared" si="53"/>
        <v>#REF!</v>
      </c>
      <c r="BP23" s="262" t="e">
        <f t="shared" ref="BP23:BZ23" si="61">((($CB$16/12)/30.5)*7/12)*0.25+70</f>
        <v>#REF!</v>
      </c>
      <c r="BQ23" s="263" t="e">
        <f t="shared" si="61"/>
        <v>#REF!</v>
      </c>
      <c r="BR23" s="263" t="e">
        <f t="shared" si="61"/>
        <v>#REF!</v>
      </c>
      <c r="BS23" s="263" t="e">
        <f t="shared" si="61"/>
        <v>#REF!</v>
      </c>
      <c r="BT23" s="263" t="e">
        <f t="shared" si="61"/>
        <v>#REF!</v>
      </c>
      <c r="BU23" s="263" t="e">
        <f t="shared" si="61"/>
        <v>#REF!</v>
      </c>
      <c r="BV23" s="263" t="e">
        <f t="shared" si="61"/>
        <v>#REF!</v>
      </c>
      <c r="BW23" s="263" t="e">
        <f t="shared" si="61"/>
        <v>#REF!</v>
      </c>
      <c r="BX23" s="263" t="e">
        <f t="shared" si="61"/>
        <v>#REF!</v>
      </c>
      <c r="BY23" s="263" t="e">
        <f t="shared" si="61"/>
        <v>#REF!</v>
      </c>
      <c r="BZ23" s="263" t="e">
        <f t="shared" si="61"/>
        <v>#REF!</v>
      </c>
      <c r="CA23" s="244" t="e">
        <f>((($BO$16/12)/30.5)*7/12)*0.25+70</f>
        <v>#REF!</v>
      </c>
      <c r="CB23" s="266" t="e">
        <f t="shared" si="54"/>
        <v>#REF!</v>
      </c>
      <c r="CC23" s="262"/>
      <c r="CD23" s="262"/>
      <c r="CE23" s="262"/>
      <c r="CF23" s="262"/>
      <c r="CG23" s="262"/>
      <c r="CH23" s="262"/>
      <c r="CI23" s="262"/>
      <c r="CJ23" s="262"/>
      <c r="CK23" s="262"/>
      <c r="CL23" s="262"/>
      <c r="CM23" s="262"/>
      <c r="CN23" s="262"/>
      <c r="CO23" s="266">
        <f t="shared" si="55"/>
        <v>0</v>
      </c>
    </row>
    <row r="24" spans="1:93" ht="14">
      <c r="A24" s="245" t="s">
        <v>235</v>
      </c>
      <c r="B24" s="246"/>
      <c r="C24" s="246"/>
      <c r="D24" s="246"/>
      <c r="E24" s="246"/>
      <c r="F24" s="246"/>
      <c r="G24" s="246"/>
      <c r="H24" s="246"/>
      <c r="I24" s="246"/>
      <c r="J24" s="246"/>
      <c r="K24" s="246"/>
      <c r="L24" s="246"/>
      <c r="M24" s="246" t="e">
        <f>(N16*1.16/12)/2</f>
        <v>#REF!</v>
      </c>
      <c r="N24" s="223" t="e">
        <f t="shared" si="56"/>
        <v>#REF!</v>
      </c>
      <c r="O24" s="245" t="s">
        <v>236</v>
      </c>
      <c r="AA24" s="246" t="e">
        <f>AA16</f>
        <v>#VALUE!</v>
      </c>
      <c r="AB24" s="223" t="e">
        <f>SUM(P24:AA24)</f>
        <v>#VALUE!</v>
      </c>
      <c r="AN24" s="246" t="e">
        <f>AN16</f>
        <v>#REF!</v>
      </c>
      <c r="AO24" s="223" t="e">
        <f t="shared" si="48"/>
        <v>#REF!</v>
      </c>
      <c r="BA24" s="246" t="e">
        <f>BA16</f>
        <v>#REF!</v>
      </c>
      <c r="BB24" s="224" t="e">
        <f t="shared" si="52"/>
        <v>#REF!</v>
      </c>
      <c r="BN24" s="246" t="e">
        <f>BN16</f>
        <v>#REF!</v>
      </c>
      <c r="BO24" s="224" t="e">
        <f t="shared" si="53"/>
        <v>#REF!</v>
      </c>
      <c r="BP24" s="267"/>
      <c r="BQ24" s="268"/>
      <c r="BR24" s="268"/>
      <c r="BS24" s="268"/>
      <c r="BT24" s="268"/>
      <c r="BU24" s="268"/>
      <c r="BV24" s="268"/>
      <c r="BW24" s="268"/>
      <c r="BX24" s="268"/>
      <c r="BY24" s="268"/>
      <c r="BZ24" s="268"/>
      <c r="CA24" s="269" t="e">
        <f>CA16</f>
        <v>#REF!</v>
      </c>
      <c r="CB24" s="266" t="e">
        <f t="shared" si="54"/>
        <v>#REF!</v>
      </c>
      <c r="CC24" s="267"/>
      <c r="CD24" s="268"/>
      <c r="CE24" s="268"/>
      <c r="CF24" s="268"/>
      <c r="CG24" s="268"/>
      <c r="CH24" s="268"/>
      <c r="CI24" s="268"/>
      <c r="CJ24" s="268"/>
      <c r="CK24" s="268"/>
      <c r="CL24" s="268"/>
      <c r="CM24" s="268"/>
      <c r="CN24" s="269"/>
      <c r="CO24" s="266">
        <f t="shared" si="55"/>
        <v>0</v>
      </c>
    </row>
    <row r="25" spans="1:93" ht="14">
      <c r="A25" s="230" t="s">
        <v>237</v>
      </c>
      <c r="B25" s="231" t="e">
        <f t="shared" ref="B25:M25" si="62">SUM(B23:B24)</f>
        <v>#REF!</v>
      </c>
      <c r="C25" s="231" t="e">
        <f t="shared" si="62"/>
        <v>#REF!</v>
      </c>
      <c r="D25" s="231" t="e">
        <f t="shared" si="62"/>
        <v>#REF!</v>
      </c>
      <c r="E25" s="231" t="e">
        <f t="shared" si="62"/>
        <v>#REF!</v>
      </c>
      <c r="F25" s="231" t="e">
        <f t="shared" si="62"/>
        <v>#REF!</v>
      </c>
      <c r="G25" s="231" t="e">
        <f t="shared" si="62"/>
        <v>#REF!</v>
      </c>
      <c r="H25" s="231" t="e">
        <f t="shared" si="62"/>
        <v>#REF!</v>
      </c>
      <c r="I25" s="231" t="e">
        <f t="shared" si="62"/>
        <v>#REF!</v>
      </c>
      <c r="J25" s="231" t="e">
        <f t="shared" si="62"/>
        <v>#REF!</v>
      </c>
      <c r="K25" s="231" t="e">
        <f t="shared" si="62"/>
        <v>#REF!</v>
      </c>
      <c r="L25" s="231" t="e">
        <f t="shared" si="62"/>
        <v>#REF!</v>
      </c>
      <c r="M25" s="231" t="e">
        <f t="shared" si="62"/>
        <v>#REF!</v>
      </c>
      <c r="N25" s="232" t="e">
        <f t="shared" si="56"/>
        <v>#REF!</v>
      </c>
      <c r="O25" s="230" t="s">
        <v>238</v>
      </c>
      <c r="P25" s="231" t="e">
        <f t="shared" ref="P25:AA25" si="63">SUM(P23:P24)</f>
        <v>#VALUE!</v>
      </c>
      <c r="Q25" s="231" t="e">
        <f t="shared" si="63"/>
        <v>#VALUE!</v>
      </c>
      <c r="R25" s="231" t="e">
        <f t="shared" si="63"/>
        <v>#VALUE!</v>
      </c>
      <c r="S25" s="231" t="e">
        <f t="shared" si="63"/>
        <v>#VALUE!</v>
      </c>
      <c r="T25" s="231" t="e">
        <f t="shared" si="63"/>
        <v>#VALUE!</v>
      </c>
      <c r="U25" s="231" t="e">
        <f t="shared" si="63"/>
        <v>#VALUE!</v>
      </c>
      <c r="V25" s="231" t="e">
        <f t="shared" si="63"/>
        <v>#VALUE!</v>
      </c>
      <c r="W25" s="231" t="e">
        <f t="shared" si="63"/>
        <v>#VALUE!</v>
      </c>
      <c r="X25" s="231" t="e">
        <f t="shared" si="63"/>
        <v>#VALUE!</v>
      </c>
      <c r="Y25" s="231" t="e">
        <f t="shared" si="63"/>
        <v>#VALUE!</v>
      </c>
      <c r="Z25" s="231" t="e">
        <f t="shared" si="63"/>
        <v>#VALUE!</v>
      </c>
      <c r="AA25" s="231" t="e">
        <f t="shared" si="63"/>
        <v>#VALUE!</v>
      </c>
      <c r="AB25" s="232" t="e">
        <f>SUM(P25:AA25)</f>
        <v>#VALUE!</v>
      </c>
      <c r="AC25" s="231" t="e">
        <f t="shared" ref="AC25:BO25" si="64">SUM(AC21:AC24)</f>
        <v>#REF!</v>
      </c>
      <c r="AD25" s="231" t="e">
        <f t="shared" si="64"/>
        <v>#REF!</v>
      </c>
      <c r="AE25" s="231" t="e">
        <f t="shared" si="64"/>
        <v>#REF!</v>
      </c>
      <c r="AF25" s="231" t="e">
        <f t="shared" si="64"/>
        <v>#REF!</v>
      </c>
      <c r="AG25" s="231" t="e">
        <f t="shared" si="64"/>
        <v>#REF!</v>
      </c>
      <c r="AH25" s="231" t="e">
        <f t="shared" si="64"/>
        <v>#REF!</v>
      </c>
      <c r="AI25" s="231" t="e">
        <f t="shared" si="64"/>
        <v>#REF!</v>
      </c>
      <c r="AJ25" s="231" t="e">
        <f t="shared" si="64"/>
        <v>#REF!</v>
      </c>
      <c r="AK25" s="231" t="e">
        <f t="shared" si="64"/>
        <v>#REF!</v>
      </c>
      <c r="AL25" s="231" t="e">
        <f t="shared" si="64"/>
        <v>#REF!</v>
      </c>
      <c r="AM25" s="231" t="e">
        <f t="shared" si="64"/>
        <v>#REF!</v>
      </c>
      <c r="AN25" s="231" t="e">
        <f t="shared" si="64"/>
        <v>#REF!</v>
      </c>
      <c r="AO25" s="232" t="e">
        <f t="shared" si="64"/>
        <v>#REF!</v>
      </c>
      <c r="AP25" s="231" t="e">
        <f t="shared" si="64"/>
        <v>#REF!</v>
      </c>
      <c r="AQ25" s="231" t="e">
        <f t="shared" si="64"/>
        <v>#REF!</v>
      </c>
      <c r="AR25" s="231" t="e">
        <f t="shared" si="64"/>
        <v>#REF!</v>
      </c>
      <c r="AS25" s="231" t="e">
        <f t="shared" si="64"/>
        <v>#REF!</v>
      </c>
      <c r="AT25" s="231" t="e">
        <f t="shared" si="64"/>
        <v>#REF!</v>
      </c>
      <c r="AU25" s="231" t="e">
        <f t="shared" si="64"/>
        <v>#REF!</v>
      </c>
      <c r="AV25" s="231" t="e">
        <f t="shared" si="64"/>
        <v>#REF!</v>
      </c>
      <c r="AW25" s="231" t="e">
        <f t="shared" si="64"/>
        <v>#REF!</v>
      </c>
      <c r="AX25" s="231" t="e">
        <f t="shared" si="64"/>
        <v>#REF!</v>
      </c>
      <c r="AY25" s="231" t="e">
        <f t="shared" si="64"/>
        <v>#REF!</v>
      </c>
      <c r="AZ25" s="231" t="e">
        <f t="shared" si="64"/>
        <v>#REF!</v>
      </c>
      <c r="BA25" s="231" t="e">
        <f t="shared" si="64"/>
        <v>#REF!</v>
      </c>
      <c r="BB25" s="233" t="e">
        <f t="shared" si="64"/>
        <v>#REF!</v>
      </c>
      <c r="BC25" s="231" t="e">
        <f t="shared" si="64"/>
        <v>#REF!</v>
      </c>
      <c r="BD25" s="231" t="e">
        <f t="shared" si="64"/>
        <v>#REF!</v>
      </c>
      <c r="BE25" s="231" t="e">
        <f t="shared" si="64"/>
        <v>#REF!</v>
      </c>
      <c r="BF25" s="231" t="e">
        <f t="shared" si="64"/>
        <v>#REF!</v>
      </c>
      <c r="BG25" s="231" t="e">
        <f t="shared" si="64"/>
        <v>#REF!</v>
      </c>
      <c r="BH25" s="231" t="e">
        <f t="shared" si="64"/>
        <v>#REF!</v>
      </c>
      <c r="BI25" s="231" t="e">
        <f t="shared" si="64"/>
        <v>#REF!</v>
      </c>
      <c r="BJ25" s="231" t="e">
        <f t="shared" si="64"/>
        <v>#REF!</v>
      </c>
      <c r="BK25" s="231" t="e">
        <f t="shared" si="64"/>
        <v>#REF!</v>
      </c>
      <c r="BL25" s="231" t="e">
        <f t="shared" si="64"/>
        <v>#REF!</v>
      </c>
      <c r="BM25" s="231" t="e">
        <f t="shared" si="64"/>
        <v>#REF!</v>
      </c>
      <c r="BN25" s="231" t="e">
        <f t="shared" si="64"/>
        <v>#REF!</v>
      </c>
      <c r="BO25" s="234" t="e">
        <f t="shared" si="64"/>
        <v>#REF!</v>
      </c>
      <c r="BP25" s="259" t="e">
        <f>SUM(BP21:BP23)</f>
        <v>#REF!</v>
      </c>
      <c r="BQ25" s="231" t="e">
        <f t="shared" ref="BQ25:CA25" si="65">SUM(BQ23:BQ24)</f>
        <v>#REF!</v>
      </c>
      <c r="BR25" s="231" t="e">
        <f t="shared" si="65"/>
        <v>#REF!</v>
      </c>
      <c r="BS25" s="231" t="e">
        <f t="shared" si="65"/>
        <v>#REF!</v>
      </c>
      <c r="BT25" s="231" t="e">
        <f t="shared" si="65"/>
        <v>#REF!</v>
      </c>
      <c r="BU25" s="231" t="e">
        <f t="shared" si="65"/>
        <v>#REF!</v>
      </c>
      <c r="BV25" s="231" t="e">
        <f t="shared" si="65"/>
        <v>#REF!</v>
      </c>
      <c r="BW25" s="231" t="e">
        <f t="shared" si="65"/>
        <v>#REF!</v>
      </c>
      <c r="BX25" s="231" t="e">
        <f t="shared" si="65"/>
        <v>#REF!</v>
      </c>
      <c r="BY25" s="231" t="e">
        <f t="shared" si="65"/>
        <v>#REF!</v>
      </c>
      <c r="BZ25" s="231" t="e">
        <f t="shared" si="65"/>
        <v>#REF!</v>
      </c>
      <c r="CA25" s="231" t="e">
        <f t="shared" si="65"/>
        <v>#REF!</v>
      </c>
      <c r="CB25" s="270" t="e">
        <f t="shared" si="54"/>
        <v>#REF!</v>
      </c>
      <c r="CC25" s="259">
        <f t="shared" ref="CC25:CN25" si="66">SUM(CC21:CC24)</f>
        <v>0</v>
      </c>
      <c r="CD25" s="259">
        <f t="shared" si="66"/>
        <v>0</v>
      </c>
      <c r="CE25" s="259">
        <f t="shared" si="66"/>
        <v>0</v>
      </c>
      <c r="CF25" s="259">
        <f t="shared" si="66"/>
        <v>0</v>
      </c>
      <c r="CG25" s="259">
        <f t="shared" si="66"/>
        <v>0</v>
      </c>
      <c r="CH25" s="259">
        <f t="shared" si="66"/>
        <v>0</v>
      </c>
      <c r="CI25" s="259">
        <f t="shared" si="66"/>
        <v>0</v>
      </c>
      <c r="CJ25" s="259">
        <f t="shared" si="66"/>
        <v>0</v>
      </c>
      <c r="CK25" s="259">
        <f t="shared" si="66"/>
        <v>0</v>
      </c>
      <c r="CL25" s="259">
        <f t="shared" si="66"/>
        <v>0</v>
      </c>
      <c r="CM25" s="259">
        <f t="shared" si="66"/>
        <v>0</v>
      </c>
      <c r="CN25" s="259">
        <f t="shared" si="66"/>
        <v>0</v>
      </c>
      <c r="CO25" s="270">
        <f t="shared" si="55"/>
        <v>0</v>
      </c>
    </row>
    <row r="26" spans="1:93" ht="14">
      <c r="A26" s="245" t="s">
        <v>239</v>
      </c>
      <c r="B26" s="246" t="e">
        <f>(B16+B20+B25)*0.17</f>
        <v>#REF!</v>
      </c>
      <c r="C26" s="246" t="e">
        <f>(C16+C20+C25)*0.17</f>
        <v>#REF!</v>
      </c>
      <c r="D26" s="246" t="e">
        <f>(D16+D20+D25)*0.17</f>
        <v>#REF!</v>
      </c>
      <c r="E26" s="246" t="e">
        <f>(E16+E20+E25)*0.17</f>
        <v>#REF!</v>
      </c>
      <c r="F26" s="246" t="e">
        <f>(F16+F20+F25)*0.17</f>
        <v>#REF!</v>
      </c>
      <c r="G26" s="246" t="e">
        <f>(G16+G20+G25)*0.17</f>
        <v>#REF!</v>
      </c>
      <c r="H26" s="246" t="e">
        <f>(H16+H20+H25)*0.17</f>
        <v>#REF!</v>
      </c>
      <c r="I26" s="246" t="e">
        <f>(I16+I20+I25)*0.17</f>
        <v>#REF!</v>
      </c>
      <c r="J26" s="246" t="e">
        <f>(J16+J20+J25)*0.17</f>
        <v>#REF!</v>
      </c>
      <c r="K26" s="246" t="e">
        <f>(K16+K20+K25)*0.17</f>
        <v>#REF!</v>
      </c>
      <c r="L26" s="246" t="e">
        <f>(L16+L20+L25)*0.17</f>
        <v>#REF!</v>
      </c>
      <c r="M26" s="246" t="e">
        <f>(M16+M20+M25)*0.17</f>
        <v>#REF!</v>
      </c>
      <c r="N26" s="223" t="e">
        <f t="shared" si="56"/>
        <v>#REF!</v>
      </c>
      <c r="O26" s="245" t="s">
        <v>240</v>
      </c>
      <c r="P26" s="246" t="e">
        <f>(P16+P25)*0.08</f>
        <v>#VALUE!</v>
      </c>
      <c r="Q26" s="246" t="e">
        <f>(Q16+Q25)*0.08</f>
        <v>#VALUE!</v>
      </c>
      <c r="R26" s="246" t="e">
        <f>(R16+R25)*0.08</f>
        <v>#VALUE!</v>
      </c>
      <c r="S26" s="246" t="e">
        <f>(S16+S25)*0.08</f>
        <v>#VALUE!</v>
      </c>
      <c r="T26" s="246" t="e">
        <f>(T16+T25)*0.08</f>
        <v>#VALUE!</v>
      </c>
      <c r="U26" s="246" t="e">
        <f>(U16+U25)*0.08</f>
        <v>#VALUE!</v>
      </c>
      <c r="V26" s="246" t="e">
        <f>(V16+V25)*0.08</f>
        <v>#VALUE!</v>
      </c>
      <c r="W26" s="246" t="e">
        <f>(W16+W25)*0.08</f>
        <v>#VALUE!</v>
      </c>
      <c r="X26" s="246" t="e">
        <f>(X16+X25)*0.08</f>
        <v>#VALUE!</v>
      </c>
      <c r="Y26" s="246" t="e">
        <f>(Y16+Y25)*0.08</f>
        <v>#VALUE!</v>
      </c>
      <c r="Z26" s="246" t="e">
        <f>(Z16+Z25)*0.08</f>
        <v>#VALUE!</v>
      </c>
      <c r="AA26" s="246" t="e">
        <f>(AA16+AA25)*0.08</f>
        <v>#VALUE!</v>
      </c>
      <c r="AB26" s="223" t="e">
        <f>SUM(P26:AA26)</f>
        <v>#VALUE!</v>
      </c>
      <c r="AC26" s="246" t="e">
        <f>(AC16+AC25)*0.08</f>
        <v>#REF!</v>
      </c>
      <c r="AD26" s="246" t="e">
        <f>(AD16+AD25)*0.08</f>
        <v>#REF!</v>
      </c>
      <c r="AE26" s="246" t="e">
        <f>(AE16+AE25)*0.08</f>
        <v>#REF!</v>
      </c>
      <c r="AF26" s="246" t="e">
        <f>(AF16+AF25)*0.08</f>
        <v>#REF!</v>
      </c>
      <c r="AG26" s="246" t="e">
        <f>(AG16+AG25)*0.08</f>
        <v>#REF!</v>
      </c>
      <c r="AH26" s="246" t="e">
        <f>(AH16+AH25)*0.08</f>
        <v>#REF!</v>
      </c>
      <c r="AI26" s="246" t="e">
        <f>(AI16+AI25)*0.08</f>
        <v>#REF!</v>
      </c>
      <c r="AJ26" s="246" t="e">
        <f>(AJ16+AJ25)*0.08</f>
        <v>#REF!</v>
      </c>
      <c r="AK26" s="246" t="e">
        <f>(AK16+AK25)*0.08</f>
        <v>#REF!</v>
      </c>
      <c r="AL26" s="246" t="e">
        <f>(AL16+AL25)*0.08</f>
        <v>#REF!</v>
      </c>
      <c r="AM26" s="246" t="e">
        <f>(AM16+AM25)*0.08</f>
        <v>#REF!</v>
      </c>
      <c r="AN26" s="246" t="e">
        <f>(AN16+AN25)*0.08</f>
        <v>#REF!</v>
      </c>
      <c r="AO26" s="223" t="e">
        <f>SUM(AC26:AN26)</f>
        <v>#REF!</v>
      </c>
      <c r="AP26" s="246" t="e">
        <f>(AP16+AP25)*0.08</f>
        <v>#REF!</v>
      </c>
      <c r="AQ26" s="246" t="e">
        <f>(AQ16+AQ25)*0.08</f>
        <v>#REF!</v>
      </c>
      <c r="AR26" s="246" t="e">
        <f>(AR16+AR25)*0.08</f>
        <v>#REF!</v>
      </c>
      <c r="AS26" s="246" t="e">
        <f>(AS16+AS25)*0.08</f>
        <v>#REF!</v>
      </c>
      <c r="AT26" s="246" t="e">
        <f>(AT16+AT25)*0.08</f>
        <v>#REF!</v>
      </c>
      <c r="AU26" s="246" t="e">
        <f>(AU16+AU25)*0.08</f>
        <v>#REF!</v>
      </c>
      <c r="AV26" s="246" t="e">
        <f>(AV16+AV25)*0.08</f>
        <v>#REF!</v>
      </c>
      <c r="AW26" s="246" t="e">
        <f>(AW16+AW25)*0.08</f>
        <v>#REF!</v>
      </c>
      <c r="AX26" s="246" t="e">
        <f>(AX16+AX25)*0.08</f>
        <v>#REF!</v>
      </c>
      <c r="AY26" s="246" t="e">
        <f>(AY16+AY25)*0.08</f>
        <v>#REF!</v>
      </c>
      <c r="AZ26" s="246" t="e">
        <f>(AZ16+AZ25)*0.08</f>
        <v>#REF!</v>
      </c>
      <c r="BA26" s="246" t="e">
        <f>(BA16+BA25)*0.08</f>
        <v>#REF!</v>
      </c>
      <c r="BB26" s="224" t="e">
        <f t="shared" ref="BB26:BB32" si="67">SUM(AP26:BA26)</f>
        <v>#REF!</v>
      </c>
      <c r="BC26" s="246" t="e">
        <f>(BC16+BC25)*0.08</f>
        <v>#REF!</v>
      </c>
      <c r="BD26" s="246" t="e">
        <f>(BD16+BD25)*0.08</f>
        <v>#REF!</v>
      </c>
      <c r="BE26" s="246" t="e">
        <f>(BE16+BE25)*0.08</f>
        <v>#REF!</v>
      </c>
      <c r="BF26" s="246" t="e">
        <f>(BF16+BF25)*0.08</f>
        <v>#REF!</v>
      </c>
      <c r="BG26" s="246" t="e">
        <f>(BG16+BG25)*0.08</f>
        <v>#REF!</v>
      </c>
      <c r="BH26" s="246" t="e">
        <f>(BH16+BH25)*0.08</f>
        <v>#REF!</v>
      </c>
      <c r="BI26" s="246" t="e">
        <f>(BI16+BI25)*0.08</f>
        <v>#REF!</v>
      </c>
      <c r="BJ26" s="246" t="e">
        <f>(BJ16+BJ25)*0.08</f>
        <v>#REF!</v>
      </c>
      <c r="BK26" s="246" t="e">
        <f>(BK16+BK25)*0.08</f>
        <v>#REF!</v>
      </c>
      <c r="BL26" s="246" t="e">
        <f>(BL16+BL25)*0.08</f>
        <v>#REF!</v>
      </c>
      <c r="BM26" s="246" t="e">
        <f>(BM16+BM25)*0.08</f>
        <v>#REF!</v>
      </c>
      <c r="BN26" s="246" t="e">
        <f>(BN16+BN25)*0.08</f>
        <v>#REF!</v>
      </c>
      <c r="BO26" s="224" t="e">
        <f t="shared" ref="BO26:BO32" si="68">SUM(BC26:BN26)</f>
        <v>#REF!</v>
      </c>
      <c r="BP26" s="271" t="e">
        <f>(BP16+BP25)*0.08</f>
        <v>#REF!</v>
      </c>
      <c r="BQ26" s="272" t="e">
        <f>(BQ16+BQ25)*0.08</f>
        <v>#REF!</v>
      </c>
      <c r="BR26" s="272" t="e">
        <f>(BR16+BR25)*0.08</f>
        <v>#REF!</v>
      </c>
      <c r="BS26" s="272" t="e">
        <f>(BS16+BS25)*0.08</f>
        <v>#REF!</v>
      </c>
      <c r="BT26" s="272" t="e">
        <f>(BT16+BT25)*0.08</f>
        <v>#REF!</v>
      </c>
      <c r="BU26" s="272" t="e">
        <f>(BU16+BU25)*0.08</f>
        <v>#REF!</v>
      </c>
      <c r="BV26" s="272" t="e">
        <f>(BV16+BV25)*0.08</f>
        <v>#REF!</v>
      </c>
      <c r="BW26" s="272" t="e">
        <f>(BW16+BW25)*0.08</f>
        <v>#REF!</v>
      </c>
      <c r="BX26" s="272" t="e">
        <f>(BX16+BX25)*0.08</f>
        <v>#REF!</v>
      </c>
      <c r="BY26" s="272" t="e">
        <f>(BY16+BY25)*0.08</f>
        <v>#REF!</v>
      </c>
      <c r="BZ26" s="272" t="e">
        <f>(BZ16+BZ25)*0.08</f>
        <v>#REF!</v>
      </c>
      <c r="CA26" s="273" t="e">
        <f>(CA16+CA25)*0.08</f>
        <v>#REF!</v>
      </c>
      <c r="CB26" s="224" t="e">
        <f t="shared" si="54"/>
        <v>#REF!</v>
      </c>
      <c r="CC26" s="271">
        <f>(CC16+CC25)*0.06</f>
        <v>7200</v>
      </c>
      <c r="CD26" s="271">
        <f>(CD16+CD25)*0.06</f>
        <v>7200</v>
      </c>
      <c r="CE26" s="271">
        <f>(CE16+CE25)*0.06</f>
        <v>7200</v>
      </c>
      <c r="CF26" s="271">
        <f>(CF16+CF25)*0.06</f>
        <v>7200</v>
      </c>
      <c r="CG26" s="271">
        <f>(CG16+CG25)*0.06</f>
        <v>7200</v>
      </c>
      <c r="CH26" s="271">
        <f>(CH16+CH25)*0.06</f>
        <v>7200</v>
      </c>
      <c r="CI26" s="271">
        <f>(CI16+CI25)*0.06</f>
        <v>7200</v>
      </c>
      <c r="CJ26" s="271">
        <f>(CJ16+CJ25)*0.06</f>
        <v>7200</v>
      </c>
      <c r="CK26" s="271">
        <f>(CK16+CK25)*0.06</f>
        <v>7200</v>
      </c>
      <c r="CL26" s="271">
        <f>(CL16+CL25)*0.06</f>
        <v>7200</v>
      </c>
      <c r="CM26" s="271">
        <f>(CM16+CM25)*0.06</f>
        <v>7200</v>
      </c>
      <c r="CN26" s="271">
        <f>(CN16+CN25)*0.06</f>
        <v>7200</v>
      </c>
      <c r="CO26" s="224">
        <f t="shared" si="55"/>
        <v>86400</v>
      </c>
    </row>
    <row r="27" spans="1:93" ht="14">
      <c r="A27" s="245" t="s">
        <v>241</v>
      </c>
      <c r="B27" s="246">
        <v>0</v>
      </c>
      <c r="C27" s="246">
        <v>0</v>
      </c>
      <c r="D27" s="246">
        <v>0</v>
      </c>
      <c r="E27" s="246">
        <v>0</v>
      </c>
      <c r="F27" s="246">
        <v>0</v>
      </c>
      <c r="G27" s="246">
        <v>0</v>
      </c>
      <c r="H27" s="246">
        <v>0</v>
      </c>
      <c r="I27" s="246">
        <v>0</v>
      </c>
      <c r="J27" s="247">
        <v>0</v>
      </c>
      <c r="K27" s="247">
        <v>0</v>
      </c>
      <c r="L27" s="247">
        <v>0</v>
      </c>
      <c r="M27" s="247">
        <v>0</v>
      </c>
      <c r="N27" s="223">
        <f t="shared" si="56"/>
        <v>0</v>
      </c>
      <c r="O27" s="245" t="s">
        <v>242</v>
      </c>
      <c r="P27" s="1"/>
      <c r="Q27" s="1"/>
      <c r="R27" s="1"/>
      <c r="S27" s="1"/>
      <c r="T27" s="1"/>
      <c r="U27" s="1"/>
      <c r="V27" s="1"/>
      <c r="W27" s="1"/>
      <c r="X27" s="1"/>
      <c r="Y27" s="1"/>
      <c r="Z27" s="1"/>
      <c r="AA27" s="1"/>
      <c r="AB27" s="223">
        <v>0</v>
      </c>
      <c r="AC27" s="1"/>
      <c r="AD27" s="1"/>
      <c r="AE27" s="1"/>
      <c r="AF27" s="1"/>
      <c r="AG27" s="1"/>
      <c r="AH27" s="1"/>
      <c r="AI27" s="1"/>
      <c r="AJ27" s="1"/>
      <c r="AK27" s="1"/>
      <c r="AL27" s="1"/>
      <c r="AM27" s="1"/>
      <c r="AN27" s="1"/>
      <c r="AO27" s="223">
        <v>0</v>
      </c>
      <c r="AP27" s="1"/>
      <c r="AQ27" s="1"/>
      <c r="AR27" s="1"/>
      <c r="AS27" s="1"/>
      <c r="AT27" s="1"/>
      <c r="AU27" s="1"/>
      <c r="AV27" s="1"/>
      <c r="AW27" s="1"/>
      <c r="AX27" s="1"/>
      <c r="AY27" s="1"/>
      <c r="AZ27" s="1"/>
      <c r="BA27" s="1"/>
      <c r="BB27" s="224">
        <f t="shared" si="67"/>
        <v>0</v>
      </c>
      <c r="BC27" s="1"/>
      <c r="BD27" s="1"/>
      <c r="BE27" s="1"/>
      <c r="BF27" s="1"/>
      <c r="BG27" s="1"/>
      <c r="BH27" s="1"/>
      <c r="BI27" s="1"/>
      <c r="BJ27" s="1"/>
      <c r="BK27" s="1"/>
      <c r="BL27" s="1"/>
      <c r="BM27" s="1"/>
      <c r="BN27" s="1"/>
      <c r="BO27" s="224">
        <f t="shared" si="68"/>
        <v>0</v>
      </c>
      <c r="BP27" s="274"/>
      <c r="BQ27" s="275"/>
      <c r="BR27" s="275"/>
      <c r="BS27" s="275"/>
      <c r="BT27" s="275"/>
      <c r="BU27" s="275"/>
      <c r="BV27" s="275"/>
      <c r="BW27" s="275"/>
      <c r="BX27" s="275"/>
      <c r="BY27" s="275"/>
      <c r="BZ27" s="275"/>
      <c r="CA27" s="276"/>
      <c r="CB27" s="224">
        <f t="shared" si="54"/>
        <v>0</v>
      </c>
      <c r="CC27" s="274"/>
      <c r="CD27" s="275"/>
      <c r="CE27" s="275"/>
      <c r="CF27" s="275"/>
      <c r="CG27" s="275"/>
      <c r="CH27" s="275"/>
      <c r="CI27" s="275"/>
      <c r="CJ27" s="275"/>
      <c r="CK27" s="275"/>
      <c r="CL27" s="275"/>
      <c r="CM27" s="275"/>
      <c r="CN27" s="276"/>
      <c r="CO27" s="224">
        <f t="shared" si="55"/>
        <v>0</v>
      </c>
    </row>
    <row r="28" spans="1:93" ht="14">
      <c r="A28" s="245" t="s">
        <v>337</v>
      </c>
      <c r="B28" s="246"/>
      <c r="C28" s="246"/>
      <c r="D28" s="246"/>
      <c r="E28" s="246"/>
      <c r="F28" s="246"/>
      <c r="G28" s="246"/>
      <c r="H28" s="246"/>
      <c r="I28" s="246"/>
      <c r="J28" s="247"/>
      <c r="K28" s="247"/>
      <c r="L28" s="247"/>
      <c r="M28" s="247"/>
      <c r="N28" s="223"/>
      <c r="O28" s="245" t="s">
        <v>243</v>
      </c>
      <c r="P28" s="277">
        <f>2500*SUM(P10:P11)</f>
        <v>0</v>
      </c>
      <c r="Q28" s="277">
        <f>2500*SUM(Q10:Q11)</f>
        <v>5000</v>
      </c>
      <c r="R28" s="277">
        <f>2500*SUM(R10:R11)</f>
        <v>7500</v>
      </c>
      <c r="S28" s="277">
        <f>2500*SUM(S10:S11)</f>
        <v>7500</v>
      </c>
      <c r="T28" s="277">
        <f>2500*SUM(T10:T11)</f>
        <v>7500</v>
      </c>
      <c r="U28" s="277">
        <f>2500*SUM(U10:U11)</f>
        <v>7500</v>
      </c>
      <c r="V28" s="277">
        <f>2500*SUM(V10:V11)</f>
        <v>7500</v>
      </c>
      <c r="W28" s="277">
        <f>2500*SUM(W10:W11)</f>
        <v>7500</v>
      </c>
      <c r="X28" s="277">
        <f>2500*SUM(X10:X11)</f>
        <v>10000</v>
      </c>
      <c r="Y28" s="277">
        <f>2500*SUM(Y10:Y11)</f>
        <v>10000</v>
      </c>
      <c r="Z28" s="277">
        <f>2500*SUM(Z10:Z11)</f>
        <v>10000</v>
      </c>
      <c r="AA28" s="277">
        <f>2500*SUM(AA10:AA11)</f>
        <v>10000</v>
      </c>
      <c r="AB28" s="223">
        <v>105000</v>
      </c>
      <c r="AC28" s="277">
        <f>2500*SUM(AC10:AC11)</f>
        <v>2500</v>
      </c>
      <c r="AD28" s="277">
        <f>2500*SUM(AD10:AD11)</f>
        <v>2500</v>
      </c>
      <c r="AE28" s="277">
        <f>2500*SUM(AE10:AE11)</f>
        <v>2500</v>
      </c>
      <c r="AF28" s="277">
        <f>2500*SUM(AF10:AF11)</f>
        <v>2500</v>
      </c>
      <c r="AG28" s="277">
        <f>2500*SUM(AG10:AG11)</f>
        <v>2500</v>
      </c>
      <c r="AH28" s="277">
        <f>2500*SUM(AH10:AH11)</f>
        <v>2500</v>
      </c>
      <c r="AI28" s="277">
        <f>2500*SUM(AI10:AI11)</f>
        <v>2500</v>
      </c>
      <c r="AJ28" s="277">
        <f>2500*SUM(AJ10:AJ11)</f>
        <v>2500</v>
      </c>
      <c r="AK28" s="277">
        <f>2500*SUM(AK10:AK11)</f>
        <v>2500</v>
      </c>
      <c r="AL28" s="277">
        <f>2500*SUM(AL10:AL11)</f>
        <v>2500</v>
      </c>
      <c r="AM28" s="277">
        <f>2500*SUM(AM10:AM11)</f>
        <v>2500</v>
      </c>
      <c r="AN28" s="277">
        <f>2500*SUM(AN10:AN11)</f>
        <v>2500</v>
      </c>
      <c r="AO28" s="223">
        <v>145000</v>
      </c>
      <c r="AP28" s="277">
        <f>2800*SUM(AP10:AP11)</f>
        <v>14000</v>
      </c>
      <c r="AQ28" s="277">
        <f>2800*SUM(AQ10:AQ11)</f>
        <v>14000</v>
      </c>
      <c r="AR28" s="277">
        <f>2800*SUM(AR10:AR11)</f>
        <v>16800</v>
      </c>
      <c r="AS28" s="277">
        <f>2800*SUM(AS10:AS11)</f>
        <v>16800</v>
      </c>
      <c r="AT28" s="277">
        <f>2800*SUM(AT10:AT11)</f>
        <v>16800</v>
      </c>
      <c r="AU28" s="277">
        <f>2800*SUM(AU10:AU11)</f>
        <v>16800</v>
      </c>
      <c r="AV28" s="277">
        <f>2800*SUM(AV10:AV11)</f>
        <v>16800</v>
      </c>
      <c r="AW28" s="277">
        <f>2800*SUM(AW10:AW11)</f>
        <v>16800</v>
      </c>
      <c r="AX28" s="277">
        <f>2800*SUM(AX10:AX11)</f>
        <v>16800</v>
      </c>
      <c r="AY28" s="277">
        <f>2800*SUM(AY10:AY11)</f>
        <v>16800</v>
      </c>
      <c r="AZ28" s="277">
        <f>2800*SUM(AZ10:AZ11)</f>
        <v>16800</v>
      </c>
      <c r="BA28" s="277">
        <f>2800*SUM(BA10:BA11)</f>
        <v>16800</v>
      </c>
      <c r="BB28" s="224">
        <f t="shared" si="67"/>
        <v>196000</v>
      </c>
      <c r="BC28" s="277">
        <f>4100*SUM(BC10:BC11)</f>
        <v>24600</v>
      </c>
      <c r="BD28" s="277">
        <f>3500*SUM(BD10:BD11)</f>
        <v>21000</v>
      </c>
      <c r="BE28" s="277">
        <f>3500*SUM(BE10:BE11)</f>
        <v>24500</v>
      </c>
      <c r="BF28" s="277">
        <f>3500*SUM(BF10:BF11)</f>
        <v>24500</v>
      </c>
      <c r="BG28" s="277">
        <f>3500*SUM(BG10:BG11)</f>
        <v>24500</v>
      </c>
      <c r="BH28" s="277">
        <f>3500*SUM(BH10:BH11)</f>
        <v>24500</v>
      </c>
      <c r="BI28" s="277">
        <f>3500*SUM(BI10:BI11)</f>
        <v>28000</v>
      </c>
      <c r="BJ28" s="277">
        <f>3500*SUM(BJ10:BJ11)</f>
        <v>28000</v>
      </c>
      <c r="BK28" s="277">
        <f>3500*SUM(BK10:BK11)</f>
        <v>28000</v>
      </c>
      <c r="BL28" s="277">
        <f>3500*SUM(BL10:BL11)</f>
        <v>28000</v>
      </c>
      <c r="BM28" s="277">
        <f>3500*SUM(BM10:BM11)</f>
        <v>28000</v>
      </c>
      <c r="BN28" s="277">
        <f>3100*SUM(BN10:BN11)</f>
        <v>24800</v>
      </c>
      <c r="BO28" s="224">
        <f t="shared" si="68"/>
        <v>308400</v>
      </c>
      <c r="BP28" s="278">
        <f>4000*SUM(BP10:BP11)-4000*2</f>
        <v>4000</v>
      </c>
      <c r="BQ28" s="279">
        <f>4000*SUM(BQ10:BQ11)-4000*2</f>
        <v>4000</v>
      </c>
      <c r="BR28" s="279">
        <f>4000*SUM(BR10:BR11)-4000*2</f>
        <v>8000</v>
      </c>
      <c r="BS28" s="279">
        <f>4000*SUM(BS10:BS11)-4000*2</f>
        <v>12000</v>
      </c>
      <c r="BT28" s="279">
        <f>4000*SUM(BT10:BT11)-4000*2</f>
        <v>12000</v>
      </c>
      <c r="BU28" s="279">
        <f>4000*SUM(BU10:BU11)-4000*2</f>
        <v>12000</v>
      </c>
      <c r="BV28" s="279">
        <f>4000*SUM(BV10:BV11)-4000*2</f>
        <v>12000</v>
      </c>
      <c r="BW28" s="279">
        <f>4000*SUM(BW10:BW11)-4000*2</f>
        <v>12000</v>
      </c>
      <c r="BX28" s="279">
        <f>4000*SUM(BX10:BX11)-4000*2</f>
        <v>12000</v>
      </c>
      <c r="BY28" s="279">
        <f>4000*SUM(BY10:BY11)-4000*2</f>
        <v>12000</v>
      </c>
      <c r="BZ28" s="279">
        <f>4000*SUM(BZ10:BZ11)-4000*2</f>
        <v>12000</v>
      </c>
      <c r="CA28" s="279">
        <f>4000*SUM(CA10:CA11)-4000*2</f>
        <v>12000</v>
      </c>
      <c r="CB28" s="224">
        <f t="shared" si="54"/>
        <v>124000</v>
      </c>
      <c r="CC28" s="278"/>
      <c r="CD28" s="278"/>
      <c r="CE28" s="278"/>
      <c r="CF28" s="278"/>
      <c r="CG28" s="278"/>
      <c r="CH28" s="278"/>
      <c r="CI28" s="278"/>
      <c r="CJ28" s="278"/>
      <c r="CK28" s="278"/>
      <c r="CL28" s="278"/>
      <c r="CM28" s="278"/>
      <c r="CN28" s="278"/>
      <c r="CO28" s="224">
        <f t="shared" si="55"/>
        <v>0</v>
      </c>
    </row>
    <row r="29" spans="1:93" ht="14">
      <c r="A29" s="245" t="s">
        <v>244</v>
      </c>
      <c r="B29" s="246"/>
      <c r="C29" s="246"/>
      <c r="D29" s="246"/>
      <c r="E29" s="246"/>
      <c r="F29" s="246"/>
      <c r="G29" s="246"/>
      <c r="H29" s="246"/>
      <c r="I29" s="246"/>
      <c r="J29" s="247"/>
      <c r="K29" s="247"/>
      <c r="L29" s="247"/>
      <c r="M29" s="247"/>
      <c r="N29" s="223"/>
      <c r="O29" s="245" t="s">
        <v>245</v>
      </c>
      <c r="P29" s="277" t="e">
        <f>P16*0.003</f>
        <v>#VALUE!</v>
      </c>
      <c r="Q29" s="277" t="e">
        <f>Q16*0.003</f>
        <v>#VALUE!</v>
      </c>
      <c r="R29" s="277" t="e">
        <f>R16*0.003</f>
        <v>#VALUE!</v>
      </c>
      <c r="S29" s="277" t="e">
        <f>S16*0.003</f>
        <v>#VALUE!</v>
      </c>
      <c r="T29" s="277" t="e">
        <f>T16*0.003</f>
        <v>#VALUE!</v>
      </c>
      <c r="U29" s="277" t="e">
        <f>U16*0.003</f>
        <v>#VALUE!</v>
      </c>
      <c r="V29" s="277" t="e">
        <f>V16*0.003</f>
        <v>#VALUE!</v>
      </c>
      <c r="W29" s="277" t="e">
        <f>W16*0.003</f>
        <v>#VALUE!</v>
      </c>
      <c r="X29" s="277" t="e">
        <f>X16*0.003</f>
        <v>#VALUE!</v>
      </c>
      <c r="Y29" s="277" t="e">
        <f>Y16*0.003</f>
        <v>#VALUE!</v>
      </c>
      <c r="Z29" s="277" t="e">
        <f>Z16*0.003</f>
        <v>#VALUE!</v>
      </c>
      <c r="AA29" s="277" t="e">
        <f>AA16*0.003</f>
        <v>#VALUE!</v>
      </c>
      <c r="AB29" s="223" t="e">
        <f>SUM(P29:AA29)</f>
        <v>#VALUE!</v>
      </c>
      <c r="AC29" s="277" t="e">
        <f>AC16*0.003</f>
        <v>#REF!</v>
      </c>
      <c r="AD29" s="277" t="e">
        <f>AD16*0.003</f>
        <v>#REF!</v>
      </c>
      <c r="AE29" s="277" t="e">
        <f>AE16*0.003</f>
        <v>#REF!</v>
      </c>
      <c r="AF29" s="277" t="e">
        <f>AF16*0.003</f>
        <v>#REF!</v>
      </c>
      <c r="AG29" s="277" t="e">
        <f>AG16*0.003</f>
        <v>#REF!</v>
      </c>
      <c r="AH29" s="277" t="e">
        <f>AH16*0.003</f>
        <v>#REF!</v>
      </c>
      <c r="AI29" s="277" t="e">
        <f>AI16*0.003</f>
        <v>#REF!</v>
      </c>
      <c r="AJ29" s="277" t="e">
        <f>AJ16*0.003</f>
        <v>#REF!</v>
      </c>
      <c r="AK29" s="277" t="e">
        <f>AK16*0.003</f>
        <v>#REF!</v>
      </c>
      <c r="AL29" s="277" t="e">
        <f>AL16*0.003</f>
        <v>#REF!</v>
      </c>
      <c r="AM29" s="277" t="e">
        <f>AM16*0.003</f>
        <v>#REF!</v>
      </c>
      <c r="AN29" s="277" t="e">
        <f>AN16*0.003</f>
        <v>#REF!</v>
      </c>
      <c r="AO29" s="223" t="e">
        <f>SUM(AC29:AN29)</f>
        <v>#REF!</v>
      </c>
      <c r="AP29" s="277" t="e">
        <f>AP16*0.003</f>
        <v>#REF!</v>
      </c>
      <c r="AQ29" s="277" t="e">
        <f>AQ16*0.003</f>
        <v>#REF!</v>
      </c>
      <c r="AR29" s="277" t="e">
        <f>AR16*0.003</f>
        <v>#REF!</v>
      </c>
      <c r="AS29" s="277" t="e">
        <f>AS16*0.003</f>
        <v>#REF!</v>
      </c>
      <c r="AT29" s="277" t="e">
        <f>AT16*0.003</f>
        <v>#REF!</v>
      </c>
      <c r="AU29" s="277" t="e">
        <f>AU16*0.003</f>
        <v>#REF!</v>
      </c>
      <c r="AV29" s="277" t="e">
        <f>AV16*0.003</f>
        <v>#REF!</v>
      </c>
      <c r="AW29" s="277" t="e">
        <f>AW16*0.003</f>
        <v>#REF!</v>
      </c>
      <c r="AX29" s="277" t="e">
        <f>AX16*0.003</f>
        <v>#REF!</v>
      </c>
      <c r="AY29" s="277" t="e">
        <f>AY16*0.003</f>
        <v>#REF!</v>
      </c>
      <c r="AZ29" s="277" t="e">
        <f>AZ16*0.003</f>
        <v>#REF!</v>
      </c>
      <c r="BA29" s="277" t="e">
        <f>BA16*0.003</f>
        <v>#REF!</v>
      </c>
      <c r="BB29" s="224" t="e">
        <f t="shared" si="67"/>
        <v>#REF!</v>
      </c>
      <c r="BC29" s="277" t="e">
        <f>BC16*0.003</f>
        <v>#REF!</v>
      </c>
      <c r="BD29" s="277" t="e">
        <f>BD16*0.003</f>
        <v>#REF!</v>
      </c>
      <c r="BE29" s="277" t="e">
        <f>BE16*0.003</f>
        <v>#REF!</v>
      </c>
      <c r="BF29" s="277" t="e">
        <f>BF16*0.003</f>
        <v>#REF!</v>
      </c>
      <c r="BG29" s="277" t="e">
        <f>BG16*0.003</f>
        <v>#REF!</v>
      </c>
      <c r="BH29" s="277" t="e">
        <f>BH16*0.003</f>
        <v>#REF!</v>
      </c>
      <c r="BI29" s="277" t="e">
        <f>BI16*0.003</f>
        <v>#REF!</v>
      </c>
      <c r="BJ29" s="277" t="e">
        <f>BJ16*0.003</f>
        <v>#REF!</v>
      </c>
      <c r="BK29" s="277" t="e">
        <f>BK16*0.003</f>
        <v>#REF!</v>
      </c>
      <c r="BL29" s="277" t="e">
        <f>BL16*0.003</f>
        <v>#REF!</v>
      </c>
      <c r="BM29" s="277" t="e">
        <f>BM16*0.003</f>
        <v>#REF!</v>
      </c>
      <c r="BN29" s="277" t="e">
        <f>BN16*0.003</f>
        <v>#REF!</v>
      </c>
      <c r="BO29" s="224" t="e">
        <f t="shared" si="68"/>
        <v>#REF!</v>
      </c>
      <c r="BP29" s="278" t="e">
        <f>BP16*0.003</f>
        <v>#REF!</v>
      </c>
      <c r="BQ29" s="279" t="e">
        <f>BQ16*0.003</f>
        <v>#REF!</v>
      </c>
      <c r="BR29" s="279" t="e">
        <f>BR16*0.003</f>
        <v>#REF!</v>
      </c>
      <c r="BS29" s="279" t="e">
        <f>BS16*0.003</f>
        <v>#REF!</v>
      </c>
      <c r="BT29" s="279" t="e">
        <f>BT16*0.003</f>
        <v>#REF!</v>
      </c>
      <c r="BU29" s="279" t="e">
        <f>BU16*0.003</f>
        <v>#REF!</v>
      </c>
      <c r="BV29" s="279" t="e">
        <f>BV16*0.003</f>
        <v>#REF!</v>
      </c>
      <c r="BW29" s="279" t="e">
        <f>BW16*0.003</f>
        <v>#REF!</v>
      </c>
      <c r="BX29" s="279" t="e">
        <f>BX16*0.003</f>
        <v>#REF!</v>
      </c>
      <c r="BY29" s="279" t="e">
        <f>BY16*0.003</f>
        <v>#REF!</v>
      </c>
      <c r="BZ29" s="279" t="e">
        <f>BZ16*0.003</f>
        <v>#REF!</v>
      </c>
      <c r="CA29" s="280" t="e">
        <f>CA16*0.003</f>
        <v>#REF!</v>
      </c>
      <c r="CB29" s="224" t="e">
        <f t="shared" si="54"/>
        <v>#REF!</v>
      </c>
      <c r="CC29" s="278"/>
      <c r="CD29" s="279"/>
      <c r="CE29" s="279"/>
      <c r="CF29" s="279"/>
      <c r="CG29" s="279"/>
      <c r="CH29" s="279"/>
      <c r="CI29" s="279"/>
      <c r="CJ29" s="279"/>
      <c r="CK29" s="279"/>
      <c r="CL29" s="279"/>
      <c r="CM29" s="279"/>
      <c r="CN29" s="280"/>
      <c r="CO29" s="224">
        <f t="shared" si="55"/>
        <v>0</v>
      </c>
    </row>
    <row r="30" spans="1:93" ht="14">
      <c r="A30" s="245" t="s">
        <v>246</v>
      </c>
      <c r="B30" s="246"/>
      <c r="C30" s="246"/>
      <c r="D30" s="246"/>
      <c r="E30" s="246"/>
      <c r="F30" s="246"/>
      <c r="G30" s="246"/>
      <c r="H30" s="246"/>
      <c r="I30" s="246"/>
      <c r="J30" s="247"/>
      <c r="K30" s="247"/>
      <c r="L30" s="247"/>
      <c r="M30" s="247"/>
      <c r="N30" s="223"/>
      <c r="O30" s="245" t="s">
        <v>247</v>
      </c>
      <c r="P30" s="277" t="e">
        <f>#REF!*0.052</f>
        <v>#REF!</v>
      </c>
      <c r="Q30" s="277" t="e">
        <f>#REF!*0.052</f>
        <v>#REF!</v>
      </c>
      <c r="R30" s="277" t="e">
        <f>#REF!*0.052</f>
        <v>#REF!</v>
      </c>
      <c r="S30" s="277" t="e">
        <f>#REF!*0.052</f>
        <v>#REF!</v>
      </c>
      <c r="T30" s="277" t="e">
        <f>#REF!*0.052</f>
        <v>#REF!</v>
      </c>
      <c r="U30" s="277" t="e">
        <f>#REF!*0.052</f>
        <v>#REF!</v>
      </c>
      <c r="V30" s="277" t="e">
        <f>#REF!*0.052</f>
        <v>#REF!</v>
      </c>
      <c r="W30" s="277" t="e">
        <f>#REF!*0.052</f>
        <v>#REF!</v>
      </c>
      <c r="X30" s="277" t="e">
        <f>#REF!*0.052</f>
        <v>#REF!</v>
      </c>
      <c r="Y30" s="277" t="e">
        <f>#REF!*0.052</f>
        <v>#REF!</v>
      </c>
      <c r="Z30" s="277" t="e">
        <f>#REF!*0.052</f>
        <v>#REF!</v>
      </c>
      <c r="AA30" s="277" t="e">
        <f>#REF!*0.052</f>
        <v>#REF!</v>
      </c>
      <c r="AB30" s="223">
        <v>0</v>
      </c>
      <c r="AC30" s="277" t="e">
        <f>#REF!*0.052</f>
        <v>#REF!</v>
      </c>
      <c r="AD30" s="277" t="e">
        <f>#REF!*0.052</f>
        <v>#REF!</v>
      </c>
      <c r="AE30" s="277" t="e">
        <f>#REF!*0.052</f>
        <v>#REF!</v>
      </c>
      <c r="AF30" s="277" t="e">
        <f>#REF!*0.052</f>
        <v>#REF!</v>
      </c>
      <c r="AG30" s="277" t="e">
        <f>#REF!*0.052</f>
        <v>#REF!</v>
      </c>
      <c r="AH30" s="277" t="e">
        <f>#REF!*0.052</f>
        <v>#REF!</v>
      </c>
      <c r="AI30" s="277" t="e">
        <f>#REF!*0.052</f>
        <v>#REF!</v>
      </c>
      <c r="AJ30" s="277" t="e">
        <f>#REF!*0.052</f>
        <v>#REF!</v>
      </c>
      <c r="AK30" s="277" t="e">
        <f>#REF!*0.052</f>
        <v>#REF!</v>
      </c>
      <c r="AL30" s="277" t="e">
        <f>#REF!*0.052</f>
        <v>#REF!</v>
      </c>
      <c r="AM30" s="277" t="e">
        <f>#REF!*0.052</f>
        <v>#REF!</v>
      </c>
      <c r="AN30" s="277" t="e">
        <f>#REF!*0.052</f>
        <v>#REF!</v>
      </c>
      <c r="AO30" s="223">
        <v>0</v>
      </c>
      <c r="AP30" s="277" t="e">
        <f>#REF!*0.052</f>
        <v>#REF!</v>
      </c>
      <c r="AQ30" s="277" t="e">
        <f>#REF!*0.052</f>
        <v>#REF!</v>
      </c>
      <c r="AR30" s="277" t="e">
        <f>#REF!*0.052</f>
        <v>#REF!</v>
      </c>
      <c r="AS30" s="277" t="e">
        <f>#REF!*0.052</f>
        <v>#REF!</v>
      </c>
      <c r="AT30" s="277" t="e">
        <f>#REF!*0.052</f>
        <v>#REF!</v>
      </c>
      <c r="AU30" s="277" t="e">
        <f>#REF!*0.052</f>
        <v>#REF!</v>
      </c>
      <c r="AV30" s="277" t="e">
        <f>#REF!*0.052</f>
        <v>#REF!</v>
      </c>
      <c r="AW30" s="277" t="e">
        <f>#REF!*0.052</f>
        <v>#REF!</v>
      </c>
      <c r="AX30" s="277" t="e">
        <f>#REF!*0.052</f>
        <v>#REF!</v>
      </c>
      <c r="AY30" s="277" t="e">
        <f>#REF!*0.052</f>
        <v>#REF!</v>
      </c>
      <c r="AZ30" s="277" t="e">
        <f>#REF!*0.052</f>
        <v>#REF!</v>
      </c>
      <c r="BA30" s="277" t="e">
        <f>#REF!*0.052</f>
        <v>#REF!</v>
      </c>
      <c r="BB30" s="224" t="e">
        <f t="shared" si="67"/>
        <v>#REF!</v>
      </c>
      <c r="BC30" s="277" t="e">
        <f>#REF!*0.052</f>
        <v>#REF!</v>
      </c>
      <c r="BD30" s="277" t="e">
        <f>#REF!*0.052</f>
        <v>#REF!</v>
      </c>
      <c r="BE30" s="277" t="e">
        <f>#REF!*0.052</f>
        <v>#REF!</v>
      </c>
      <c r="BF30" s="277" t="e">
        <f>#REF!*0.052</f>
        <v>#REF!</v>
      </c>
      <c r="BG30" s="277" t="e">
        <f>#REF!*0.052</f>
        <v>#REF!</v>
      </c>
      <c r="BH30" s="277" t="e">
        <f>#REF!*0.052</f>
        <v>#REF!</v>
      </c>
      <c r="BI30" s="277" t="e">
        <f>#REF!*0.052</f>
        <v>#REF!</v>
      </c>
      <c r="BJ30" s="277" t="e">
        <f>#REF!*0.052</f>
        <v>#REF!</v>
      </c>
      <c r="BK30" s="277" t="e">
        <f>#REF!*0.052</f>
        <v>#REF!</v>
      </c>
      <c r="BL30" s="277" t="e">
        <f>#REF!*0.052</f>
        <v>#REF!</v>
      </c>
      <c r="BM30" s="277" t="e">
        <f>#REF!*0.052</f>
        <v>#REF!</v>
      </c>
      <c r="BN30" s="277" t="e">
        <f>#REF!*0.052</f>
        <v>#REF!</v>
      </c>
      <c r="BO30" s="224" t="e">
        <f t="shared" si="68"/>
        <v>#REF!</v>
      </c>
      <c r="BP30" s="281">
        <v>7500</v>
      </c>
      <c r="BQ30" s="282">
        <f t="shared" ref="BQ30:CA30" si="69">BP30</f>
        <v>7500</v>
      </c>
      <c r="BR30" s="282">
        <f t="shared" si="69"/>
        <v>7500</v>
      </c>
      <c r="BS30" s="282">
        <f t="shared" si="69"/>
        <v>7500</v>
      </c>
      <c r="BT30" s="282">
        <f t="shared" si="69"/>
        <v>7500</v>
      </c>
      <c r="BU30" s="282">
        <f t="shared" si="69"/>
        <v>7500</v>
      </c>
      <c r="BV30" s="282">
        <f t="shared" si="69"/>
        <v>7500</v>
      </c>
      <c r="BW30" s="282">
        <f t="shared" si="69"/>
        <v>7500</v>
      </c>
      <c r="BX30" s="282">
        <f t="shared" si="69"/>
        <v>7500</v>
      </c>
      <c r="BY30" s="282">
        <f t="shared" si="69"/>
        <v>7500</v>
      </c>
      <c r="BZ30" s="282">
        <f t="shared" si="69"/>
        <v>7500</v>
      </c>
      <c r="CA30" s="282">
        <f t="shared" si="69"/>
        <v>7500</v>
      </c>
      <c r="CB30" s="283">
        <f t="shared" si="54"/>
        <v>90000</v>
      </c>
      <c r="CC30" s="281"/>
      <c r="CD30" s="282"/>
      <c r="CE30" s="282"/>
      <c r="CF30" s="282"/>
      <c r="CG30" s="282"/>
      <c r="CH30" s="282"/>
      <c r="CI30" s="282"/>
      <c r="CJ30" s="282"/>
      <c r="CK30" s="282"/>
      <c r="CL30" s="282"/>
      <c r="CM30" s="282"/>
      <c r="CN30" s="282"/>
      <c r="CO30" s="283">
        <f t="shared" si="55"/>
        <v>0</v>
      </c>
    </row>
    <row r="31" spans="1:93" ht="14">
      <c r="A31" s="230" t="s">
        <v>248</v>
      </c>
      <c r="B31" s="231" t="e">
        <f t="shared" ref="B31:N31" si="70">SUM(B26:B30)</f>
        <v>#REF!</v>
      </c>
      <c r="C31" s="231" t="e">
        <f t="shared" si="70"/>
        <v>#REF!</v>
      </c>
      <c r="D31" s="231" t="e">
        <f t="shared" si="70"/>
        <v>#REF!</v>
      </c>
      <c r="E31" s="231" t="e">
        <f t="shared" si="70"/>
        <v>#REF!</v>
      </c>
      <c r="F31" s="231" t="e">
        <f t="shared" si="70"/>
        <v>#REF!</v>
      </c>
      <c r="G31" s="231" t="e">
        <f t="shared" si="70"/>
        <v>#REF!</v>
      </c>
      <c r="H31" s="231" t="e">
        <f t="shared" si="70"/>
        <v>#REF!</v>
      </c>
      <c r="I31" s="231" t="e">
        <f t="shared" si="70"/>
        <v>#REF!</v>
      </c>
      <c r="J31" s="231" t="e">
        <f t="shared" si="70"/>
        <v>#REF!</v>
      </c>
      <c r="K31" s="231" t="e">
        <f t="shared" si="70"/>
        <v>#REF!</v>
      </c>
      <c r="L31" s="231" t="e">
        <f t="shared" si="70"/>
        <v>#REF!</v>
      </c>
      <c r="M31" s="231" t="e">
        <f t="shared" si="70"/>
        <v>#REF!</v>
      </c>
      <c r="N31" s="284" t="e">
        <f t="shared" si="70"/>
        <v>#REF!</v>
      </c>
      <c r="O31" s="230" t="s">
        <v>249</v>
      </c>
      <c r="P31" s="231" t="e">
        <f t="shared" ref="P31:AA31" si="71">SUM(P26:P30)</f>
        <v>#VALUE!</v>
      </c>
      <c r="Q31" s="231" t="e">
        <f t="shared" si="71"/>
        <v>#VALUE!</v>
      </c>
      <c r="R31" s="231" t="e">
        <f t="shared" si="71"/>
        <v>#VALUE!</v>
      </c>
      <c r="S31" s="231" t="e">
        <f t="shared" si="71"/>
        <v>#VALUE!</v>
      </c>
      <c r="T31" s="231" t="e">
        <f t="shared" si="71"/>
        <v>#VALUE!</v>
      </c>
      <c r="U31" s="231" t="e">
        <f t="shared" si="71"/>
        <v>#VALUE!</v>
      </c>
      <c r="V31" s="231" t="e">
        <f t="shared" si="71"/>
        <v>#VALUE!</v>
      </c>
      <c r="W31" s="231" t="e">
        <f t="shared" si="71"/>
        <v>#VALUE!</v>
      </c>
      <c r="X31" s="231" t="e">
        <f t="shared" si="71"/>
        <v>#VALUE!</v>
      </c>
      <c r="Y31" s="231" t="e">
        <f t="shared" si="71"/>
        <v>#VALUE!</v>
      </c>
      <c r="Z31" s="231" t="e">
        <f t="shared" si="71"/>
        <v>#VALUE!</v>
      </c>
      <c r="AA31" s="231" t="e">
        <f t="shared" si="71"/>
        <v>#VALUE!</v>
      </c>
      <c r="AB31" s="270" t="e">
        <f>SUM(P31:AA31)</f>
        <v>#VALUE!</v>
      </c>
      <c r="AC31" s="231" t="e">
        <f t="shared" ref="AC31:AN31" si="72">SUM(AC26:AC30)</f>
        <v>#REF!</v>
      </c>
      <c r="AD31" s="231" t="e">
        <f t="shared" si="72"/>
        <v>#REF!</v>
      </c>
      <c r="AE31" s="231" t="e">
        <f t="shared" si="72"/>
        <v>#REF!</v>
      </c>
      <c r="AF31" s="231" t="e">
        <f t="shared" si="72"/>
        <v>#REF!</v>
      </c>
      <c r="AG31" s="231" t="e">
        <f t="shared" si="72"/>
        <v>#REF!</v>
      </c>
      <c r="AH31" s="231" t="e">
        <f t="shared" si="72"/>
        <v>#REF!</v>
      </c>
      <c r="AI31" s="231" t="e">
        <f t="shared" si="72"/>
        <v>#REF!</v>
      </c>
      <c r="AJ31" s="231" t="e">
        <f t="shared" si="72"/>
        <v>#REF!</v>
      </c>
      <c r="AK31" s="231" t="e">
        <f t="shared" si="72"/>
        <v>#REF!</v>
      </c>
      <c r="AL31" s="231" t="e">
        <f t="shared" si="72"/>
        <v>#REF!</v>
      </c>
      <c r="AM31" s="231" t="e">
        <f t="shared" si="72"/>
        <v>#REF!</v>
      </c>
      <c r="AN31" s="231" t="e">
        <f t="shared" si="72"/>
        <v>#REF!</v>
      </c>
      <c r="AO31" s="270" t="e">
        <f>SUM(AC31:AN31)</f>
        <v>#REF!</v>
      </c>
      <c r="AP31" s="231" t="e">
        <f t="shared" ref="AP31:BA31" si="73">SUM(AP26:AP30)</f>
        <v>#REF!</v>
      </c>
      <c r="AQ31" s="231" t="e">
        <f t="shared" si="73"/>
        <v>#REF!</v>
      </c>
      <c r="AR31" s="231" t="e">
        <f t="shared" si="73"/>
        <v>#REF!</v>
      </c>
      <c r="AS31" s="231" t="e">
        <f t="shared" si="73"/>
        <v>#REF!</v>
      </c>
      <c r="AT31" s="231" t="e">
        <f t="shared" si="73"/>
        <v>#REF!</v>
      </c>
      <c r="AU31" s="231" t="e">
        <f t="shared" si="73"/>
        <v>#REF!</v>
      </c>
      <c r="AV31" s="231" t="e">
        <f t="shared" si="73"/>
        <v>#REF!</v>
      </c>
      <c r="AW31" s="231" t="e">
        <f t="shared" si="73"/>
        <v>#REF!</v>
      </c>
      <c r="AX31" s="231" t="e">
        <f t="shared" si="73"/>
        <v>#REF!</v>
      </c>
      <c r="AY31" s="231" t="e">
        <f t="shared" si="73"/>
        <v>#REF!</v>
      </c>
      <c r="AZ31" s="231" t="e">
        <f t="shared" si="73"/>
        <v>#REF!</v>
      </c>
      <c r="BA31" s="231" t="e">
        <f t="shared" si="73"/>
        <v>#REF!</v>
      </c>
      <c r="BB31" s="270" t="e">
        <f t="shared" si="67"/>
        <v>#REF!</v>
      </c>
      <c r="BC31" s="231" t="e">
        <f t="shared" ref="BC31:BN31" si="74">SUM(BC26:BC30)</f>
        <v>#REF!</v>
      </c>
      <c r="BD31" s="231" t="e">
        <f t="shared" si="74"/>
        <v>#REF!</v>
      </c>
      <c r="BE31" s="231" t="e">
        <f t="shared" si="74"/>
        <v>#REF!</v>
      </c>
      <c r="BF31" s="231" t="e">
        <f t="shared" si="74"/>
        <v>#REF!</v>
      </c>
      <c r="BG31" s="231" t="e">
        <f t="shared" si="74"/>
        <v>#REF!</v>
      </c>
      <c r="BH31" s="231" t="e">
        <f t="shared" si="74"/>
        <v>#REF!</v>
      </c>
      <c r="BI31" s="231" t="e">
        <f t="shared" si="74"/>
        <v>#REF!</v>
      </c>
      <c r="BJ31" s="231" t="e">
        <f t="shared" si="74"/>
        <v>#REF!</v>
      </c>
      <c r="BK31" s="231" t="e">
        <f t="shared" si="74"/>
        <v>#REF!</v>
      </c>
      <c r="BL31" s="231" t="e">
        <f t="shared" si="74"/>
        <v>#REF!</v>
      </c>
      <c r="BM31" s="231" t="e">
        <f t="shared" si="74"/>
        <v>#REF!</v>
      </c>
      <c r="BN31" s="231" t="e">
        <f t="shared" si="74"/>
        <v>#REF!</v>
      </c>
      <c r="BO31" s="270" t="e">
        <f t="shared" si="68"/>
        <v>#REF!</v>
      </c>
      <c r="BP31" s="259" t="e">
        <f t="shared" ref="BP31:CA31" si="75">SUM(BP26:BP30)</f>
        <v>#REF!</v>
      </c>
      <c r="BQ31" s="231" t="e">
        <f t="shared" si="75"/>
        <v>#REF!</v>
      </c>
      <c r="BR31" s="231" t="e">
        <f t="shared" si="75"/>
        <v>#REF!</v>
      </c>
      <c r="BS31" s="231" t="e">
        <f t="shared" si="75"/>
        <v>#REF!</v>
      </c>
      <c r="BT31" s="231" t="e">
        <f t="shared" si="75"/>
        <v>#REF!</v>
      </c>
      <c r="BU31" s="231" t="e">
        <f t="shared" si="75"/>
        <v>#REF!</v>
      </c>
      <c r="BV31" s="231" t="e">
        <f t="shared" si="75"/>
        <v>#REF!</v>
      </c>
      <c r="BW31" s="231" t="e">
        <f t="shared" si="75"/>
        <v>#REF!</v>
      </c>
      <c r="BX31" s="231" t="e">
        <f t="shared" si="75"/>
        <v>#REF!</v>
      </c>
      <c r="BY31" s="231" t="e">
        <f t="shared" si="75"/>
        <v>#REF!</v>
      </c>
      <c r="BZ31" s="231" t="e">
        <f t="shared" si="75"/>
        <v>#REF!</v>
      </c>
      <c r="CA31" s="285" t="e">
        <f t="shared" si="75"/>
        <v>#REF!</v>
      </c>
      <c r="CB31" s="286" t="e">
        <f t="shared" si="54"/>
        <v>#REF!</v>
      </c>
      <c r="CC31" s="259">
        <f t="shared" ref="CC31:CN31" si="76">SUM(CC26:CC30)</f>
        <v>7200</v>
      </c>
      <c r="CD31" s="231">
        <f t="shared" si="76"/>
        <v>7200</v>
      </c>
      <c r="CE31" s="231">
        <f t="shared" si="76"/>
        <v>7200</v>
      </c>
      <c r="CF31" s="231">
        <f t="shared" si="76"/>
        <v>7200</v>
      </c>
      <c r="CG31" s="231">
        <f t="shared" si="76"/>
        <v>7200</v>
      </c>
      <c r="CH31" s="231">
        <f t="shared" si="76"/>
        <v>7200</v>
      </c>
      <c r="CI31" s="231">
        <f t="shared" si="76"/>
        <v>7200</v>
      </c>
      <c r="CJ31" s="231">
        <f t="shared" si="76"/>
        <v>7200</v>
      </c>
      <c r="CK31" s="231">
        <f t="shared" si="76"/>
        <v>7200</v>
      </c>
      <c r="CL31" s="231">
        <f t="shared" si="76"/>
        <v>7200</v>
      </c>
      <c r="CM31" s="231">
        <f t="shared" si="76"/>
        <v>7200</v>
      </c>
      <c r="CN31" s="285">
        <f t="shared" si="76"/>
        <v>7200</v>
      </c>
      <c r="CO31" s="286">
        <f t="shared" si="55"/>
        <v>86400</v>
      </c>
    </row>
    <row r="32" spans="1:93" ht="16">
      <c r="A32" s="287" t="s">
        <v>250</v>
      </c>
      <c r="B32" s="288" t="e">
        <f>SUM(B16,B20,B25+B31)</f>
        <v>#REF!</v>
      </c>
      <c r="C32" s="288" t="e">
        <f>SUM(C16,C20,C25+C31)</f>
        <v>#REF!</v>
      </c>
      <c r="D32" s="288" t="e">
        <f>SUM(D16,D20,D25+D31)</f>
        <v>#REF!</v>
      </c>
      <c r="E32" s="288" t="e">
        <f>SUM(E16,E20,E25+E31)</f>
        <v>#REF!</v>
      </c>
      <c r="F32" s="288" t="e">
        <f>SUM(F16,F20,F25+F31)</f>
        <v>#REF!</v>
      </c>
      <c r="G32" s="288" t="e">
        <f>SUM(G16,G20,G25+G31)</f>
        <v>#REF!</v>
      </c>
      <c r="H32" s="288" t="e">
        <f>SUM(H16,H20,H25+H31)</f>
        <v>#REF!</v>
      </c>
      <c r="I32" s="288" t="e">
        <f>SUM(I16,I20,I25+I31)</f>
        <v>#REF!</v>
      </c>
      <c r="J32" s="288" t="e">
        <f>SUM(J16,J20,J25+J31)</f>
        <v>#REF!</v>
      </c>
      <c r="K32" s="288" t="e">
        <f>SUM(K16,K20,K25+K31)</f>
        <v>#REF!</v>
      </c>
      <c r="L32" s="288" t="e">
        <f>SUM(L16,L20,L25+L31)</f>
        <v>#REF!</v>
      </c>
      <c r="M32" s="288" t="e">
        <f>SUM(M16,M20,M25+M31)</f>
        <v>#REF!</v>
      </c>
      <c r="N32" s="289" t="e">
        <f>SUM(B32:M32)</f>
        <v>#REF!</v>
      </c>
      <c r="O32" s="287" t="s">
        <v>251</v>
      </c>
      <c r="P32" s="288" t="e">
        <f>SUM(P16,P20,P25+P26)</f>
        <v>#VALUE!</v>
      </c>
      <c r="Q32" s="288" t="e">
        <f>SUM(Q16,Q20,Q25+Q26)</f>
        <v>#VALUE!</v>
      </c>
      <c r="R32" s="288" t="e">
        <f>SUM(R16,R20,R25+R26)</f>
        <v>#VALUE!</v>
      </c>
      <c r="S32" s="288" t="e">
        <f>SUM(S16,S20,S25+S26)</f>
        <v>#VALUE!</v>
      </c>
      <c r="T32" s="288" t="e">
        <f>SUM(T16,T20,T25+T26)</f>
        <v>#VALUE!</v>
      </c>
      <c r="U32" s="288" t="e">
        <f>SUM(U16,U20,U25+U26)</f>
        <v>#VALUE!</v>
      </c>
      <c r="V32" s="288" t="e">
        <f>SUM(V16,V20,V25+V26)</f>
        <v>#VALUE!</v>
      </c>
      <c r="W32" s="288" t="e">
        <f>SUM(W16,W20,W25+W26)</f>
        <v>#VALUE!</v>
      </c>
      <c r="X32" s="288" t="e">
        <f>SUM(X16,X20,X25+X26)</f>
        <v>#VALUE!</v>
      </c>
      <c r="Y32" s="288" t="e">
        <f>SUM(Y16,Y20,Y25+Y26)</f>
        <v>#VALUE!</v>
      </c>
      <c r="Z32" s="288" t="e">
        <f>SUM(Z16,Z20,Z25+Z26)</f>
        <v>#VALUE!</v>
      </c>
      <c r="AA32" s="288" t="e">
        <f>SUM(AA16,AA20,AA25+AA26)</f>
        <v>#VALUE!</v>
      </c>
      <c r="AB32" s="289" t="e">
        <f>SUM(P32:AA32)</f>
        <v>#VALUE!</v>
      </c>
      <c r="AC32" s="288" t="e">
        <f>SUM(AC16,AC20,AC25+AC26)</f>
        <v>#REF!</v>
      </c>
      <c r="AD32" s="288" t="e">
        <f>SUM(AD16,AD20,AD25+AD26)</f>
        <v>#REF!</v>
      </c>
      <c r="AE32" s="288" t="e">
        <f>SUM(AE16,AE20,AE25+AE26)</f>
        <v>#REF!</v>
      </c>
      <c r="AF32" s="288" t="e">
        <f>SUM(AF16,AF20,AF25+AF26)</f>
        <v>#REF!</v>
      </c>
      <c r="AG32" s="288" t="e">
        <f>SUM(AG16,AG20,AG25+AG26)</f>
        <v>#REF!</v>
      </c>
      <c r="AH32" s="288" t="e">
        <f>SUM(AH16,AH20,AH25+AH26)</f>
        <v>#REF!</v>
      </c>
      <c r="AI32" s="288" t="e">
        <f>SUM(AI16,AI20,AI25+AI26)</f>
        <v>#REF!</v>
      </c>
      <c r="AJ32" s="288" t="e">
        <f>SUM(AJ16,AJ20,AJ25+AJ26)</f>
        <v>#REF!</v>
      </c>
      <c r="AK32" s="288" t="e">
        <f>SUM(AK16,AK20,AK25+AK26)</f>
        <v>#REF!</v>
      </c>
      <c r="AL32" s="288" t="e">
        <f>SUM(AL16,AL20,AL25+AL26)</f>
        <v>#REF!</v>
      </c>
      <c r="AM32" s="288" t="e">
        <f>SUM(AM16,AM20,AM25+AM26)</f>
        <v>#REF!</v>
      </c>
      <c r="AN32" s="288" t="e">
        <f>SUM(AN16,AN20,AN25+AN26)</f>
        <v>#REF!</v>
      </c>
      <c r="AO32" s="289" t="e">
        <f>SUM(AC32:AN32)</f>
        <v>#REF!</v>
      </c>
      <c r="AP32" s="288" t="e">
        <f>SUM(AP16,AP20,AP25+AP26)</f>
        <v>#REF!</v>
      </c>
      <c r="AQ32" s="288" t="e">
        <f>SUM(AQ16,AQ20,AQ25+AQ26)</f>
        <v>#REF!</v>
      </c>
      <c r="AR32" s="288" t="e">
        <f>SUM(AR16,AR20,AR25+AR26)</f>
        <v>#REF!</v>
      </c>
      <c r="AS32" s="288" t="e">
        <f>SUM(AS16,AS20,AS25+AS26)</f>
        <v>#REF!</v>
      </c>
      <c r="AT32" s="288" t="e">
        <f>SUM(AT16,AT20,AT25+AT26)</f>
        <v>#REF!</v>
      </c>
      <c r="AU32" s="288" t="e">
        <f>SUM(AU16,AU20,AU25+AU26)</f>
        <v>#REF!</v>
      </c>
      <c r="AV32" s="288" t="e">
        <f>SUM(AV16,AV20,AV25+AV26)</f>
        <v>#REF!</v>
      </c>
      <c r="AW32" s="288" t="e">
        <f>SUM(AW16,AW20,AW25+AW26)</f>
        <v>#REF!</v>
      </c>
      <c r="AX32" s="288" t="e">
        <f>SUM(AX16,AX20,AX25+AX26)</f>
        <v>#REF!</v>
      </c>
      <c r="AY32" s="288" t="e">
        <f>SUM(AY16,AY20,AY25+AY26)</f>
        <v>#REF!</v>
      </c>
      <c r="AZ32" s="288" t="e">
        <f>SUM(AZ16,AZ20,AZ25+AZ26)</f>
        <v>#REF!</v>
      </c>
      <c r="BA32" s="288" t="e">
        <f>SUM(BA16,BA20,BA25+BA26)</f>
        <v>#REF!</v>
      </c>
      <c r="BB32" s="290" t="e">
        <f t="shared" si="67"/>
        <v>#REF!</v>
      </c>
      <c r="BC32" s="288" t="e">
        <f>SUM(BC16,BC20,BC25+BC26)</f>
        <v>#REF!</v>
      </c>
      <c r="BD32" s="288" t="e">
        <f>SUM(BD16,BD20,BD25+BD26)</f>
        <v>#REF!</v>
      </c>
      <c r="BE32" s="288" t="e">
        <f>SUM(BE16,BE20,BE25+BE26)</f>
        <v>#REF!</v>
      </c>
      <c r="BF32" s="288" t="e">
        <f>SUM(BF16,BF20,BF25+BF26)</f>
        <v>#REF!</v>
      </c>
      <c r="BG32" s="288" t="e">
        <f>SUM(BG16,BG20,BG25+BG26)</f>
        <v>#REF!</v>
      </c>
      <c r="BH32" s="288" t="e">
        <f>SUM(BH16,BH20,BH25+BH26)</f>
        <v>#REF!</v>
      </c>
      <c r="BI32" s="288" t="e">
        <f>SUM(BI16,BI20,BI25+BI26)</f>
        <v>#REF!</v>
      </c>
      <c r="BJ32" s="288" t="e">
        <f>SUM(BJ16,BJ20,BJ25+BJ26)</f>
        <v>#REF!</v>
      </c>
      <c r="BK32" s="288" t="e">
        <f>SUM(BK16,BK20,BK25+BK26)</f>
        <v>#REF!</v>
      </c>
      <c r="BL32" s="288" t="e">
        <f>SUM(BL16,BL20,BL25+BL26)</f>
        <v>#REF!</v>
      </c>
      <c r="BM32" s="288" t="e">
        <f>SUM(BM16,BM20,BM25+BM26)</f>
        <v>#REF!</v>
      </c>
      <c r="BN32" s="288" t="e">
        <f>SUM(BN16,BN20,BN25+BN26)</f>
        <v>#REF!</v>
      </c>
      <c r="BO32" s="290" t="e">
        <f t="shared" si="68"/>
        <v>#REF!</v>
      </c>
      <c r="BP32" s="291" t="e">
        <f>SUM(BP16,BP20,BP25+BP26)</f>
        <v>#REF!</v>
      </c>
      <c r="BQ32" s="288" t="e">
        <f>SUM(BQ16,BQ20,BQ25+BQ26)</f>
        <v>#REF!</v>
      </c>
      <c r="BR32" s="288" t="e">
        <f>SUM(BR16,BR20,BR25+BR26)</f>
        <v>#REF!</v>
      </c>
      <c r="BS32" s="288" t="e">
        <f>SUM(BS16,BS20,BS25+BS26)</f>
        <v>#REF!</v>
      </c>
      <c r="BT32" s="288" t="e">
        <f>SUM(BT16,BT20,BT25+BT26)</f>
        <v>#REF!</v>
      </c>
      <c r="BU32" s="288" t="e">
        <f>SUM(BU16,BU20,BU25+BU26)</f>
        <v>#REF!</v>
      </c>
      <c r="BV32" s="288" t="e">
        <f>SUM(BV16,BV20,BV25+BV26)</f>
        <v>#REF!</v>
      </c>
      <c r="BW32" s="288" t="e">
        <f>SUM(BW16,BW20,BW25+BW26)</f>
        <v>#REF!</v>
      </c>
      <c r="BX32" s="288" t="e">
        <f>SUM(BX16,BX20,BX25+BX26)</f>
        <v>#REF!</v>
      </c>
      <c r="BY32" s="288" t="e">
        <f>SUM(BY16,BY20,BY25+BY26)</f>
        <v>#REF!</v>
      </c>
      <c r="BZ32" s="288" t="e">
        <f>SUM(BZ16,BZ20,BZ25+BZ26)</f>
        <v>#REF!</v>
      </c>
      <c r="CA32" s="292" t="e">
        <f>SUM(CA16,CA20,CA25+CA26)</f>
        <v>#REF!</v>
      </c>
      <c r="CB32" s="293" t="e">
        <f t="shared" si="54"/>
        <v>#REF!</v>
      </c>
      <c r="CC32" s="291">
        <f>SUM(CC16,CC20,CC25+CC31)</f>
        <v>127200</v>
      </c>
      <c r="CD32" s="291">
        <f>SUM(CD16,CD20,CD25+CD31)</f>
        <v>127200</v>
      </c>
      <c r="CE32" s="291">
        <f>SUM(CE16,CE20,CE25+CE31)</f>
        <v>127200</v>
      </c>
      <c r="CF32" s="291">
        <f>SUM(CF16,CF20,CF25+CF31)</f>
        <v>127200</v>
      </c>
      <c r="CG32" s="291">
        <f>SUM(CG16,CG20,CG25+CG31)</f>
        <v>127200</v>
      </c>
      <c r="CH32" s="291">
        <f>SUM(CH16,CH20,CH25+CH31)</f>
        <v>127200</v>
      </c>
      <c r="CI32" s="291">
        <f>SUM(CI16,CI20,CI25+CI31)</f>
        <v>127200</v>
      </c>
      <c r="CJ32" s="291">
        <f>SUM(CJ16,CJ20,CJ25+CJ31)</f>
        <v>127200</v>
      </c>
      <c r="CK32" s="291">
        <f>SUM(CK16,CK20,CK25+CK31)</f>
        <v>127200</v>
      </c>
      <c r="CL32" s="291">
        <f>SUM(CL16,CL20,CL25+CL31)</f>
        <v>127200</v>
      </c>
      <c r="CM32" s="291">
        <f>SUM(CM16,CM20,CM25+CM31)</f>
        <v>127200</v>
      </c>
      <c r="CN32" s="291">
        <f>SUM(CN16,CN20,CN25+CN31)</f>
        <v>127200</v>
      </c>
      <c r="CO32" s="293">
        <f t="shared" si="55"/>
        <v>1526400</v>
      </c>
    </row>
    <row r="33" spans="2:68" ht="14">
      <c r="BO33" s="2">
        <f>50000*12</f>
        <v>600000</v>
      </c>
      <c r="BP33" t="s">
        <v>252</v>
      </c>
    </row>
    <row r="34" spans="2:68" ht="14">
      <c r="B34" s="89" t="e">
        <f>B32/#REF!</f>
        <v>#REF!</v>
      </c>
      <c r="C34" s="89" t="e">
        <f>C32/#REF!</f>
        <v>#REF!</v>
      </c>
      <c r="D34" s="89" t="e">
        <f>D32/#REF!</f>
        <v>#REF!</v>
      </c>
      <c r="E34" s="89" t="e">
        <f>E32/#REF!</f>
        <v>#REF!</v>
      </c>
      <c r="F34" s="89" t="e">
        <f>F32/#REF!</f>
        <v>#REF!</v>
      </c>
      <c r="G34" s="89" t="e">
        <f>G32/#REF!</f>
        <v>#REF!</v>
      </c>
      <c r="H34" s="89" t="e">
        <f>H32/#REF!</f>
        <v>#REF!</v>
      </c>
      <c r="I34" s="89" t="e">
        <f>I32/#REF!</f>
        <v>#REF!</v>
      </c>
      <c r="J34" s="89" t="e">
        <f>J32/#REF!</f>
        <v>#REF!</v>
      </c>
      <c r="K34" s="89" t="e">
        <f>K32/#REF!</f>
        <v>#REF!</v>
      </c>
      <c r="L34" s="89" t="e">
        <f>L32/#REF!</f>
        <v>#REF!</v>
      </c>
      <c r="M34" s="89" t="e">
        <f>M32/#REF!</f>
        <v>#REF!</v>
      </c>
      <c r="BO34" s="294" t="e">
        <f>BO32+BO33</f>
        <v>#REF!</v>
      </c>
    </row>
    <row r="35" spans="2:68" ht="14">
      <c r="K35" s="80" t="e">
        <f>K34/$B$34-1</f>
        <v>#REF!</v>
      </c>
      <c r="L35" s="80" t="e">
        <f>L34/$B$34-1</f>
        <v>#REF!</v>
      </c>
      <c r="M35" s="80" t="e">
        <f>M34/$B$34-1</f>
        <v>#REF!</v>
      </c>
      <c r="BD35" s="2">
        <f>330000*12</f>
        <v>3960000</v>
      </c>
      <c r="BE35" s="2">
        <f>5700000</f>
        <v>5700000</v>
      </c>
      <c r="BF35" s="2">
        <f>(BE35-BD35)/BE35</f>
        <v>0.30526315789473685</v>
      </c>
      <c r="BO35" s="2">
        <v>5728000</v>
      </c>
      <c r="BP35" t="s">
        <v>253</v>
      </c>
    </row>
    <row r="36" spans="2:68" ht="14">
      <c r="BO36" s="2" t="e">
        <f>BO35-BO34</f>
        <v>#REF!</v>
      </c>
    </row>
    <row r="38" spans="2:68" ht="14">
      <c r="M38" s="89"/>
    </row>
    <row r="41" spans="2:68" ht="14">
      <c r="M41" s="89"/>
    </row>
    <row r="42" spans="2:68" ht="14">
      <c r="I42" s="89"/>
    </row>
    <row r="43" spans="2:68" ht="14">
      <c r="I43" s="89"/>
    </row>
    <row r="44" spans="2:68" ht="14">
      <c r="I44" s="89"/>
      <c r="L44" s="295"/>
      <c r="M44" s="295"/>
      <c r="N44" s="295"/>
      <c r="O44" s="295"/>
    </row>
    <row r="45" spans="2:68" ht="14">
      <c r="I45" s="89"/>
      <c r="L45" s="295"/>
      <c r="M45" s="295"/>
    </row>
    <row r="46" spans="2:68" ht="14">
      <c r="I46" s="89"/>
      <c r="L46" s="295"/>
      <c r="M46" s="295"/>
      <c r="N46" s="80"/>
      <c r="O46" s="80"/>
    </row>
    <row r="47" spans="2:68" ht="14">
      <c r="I47" s="89"/>
      <c r="L47" s="295"/>
      <c r="M47" s="295"/>
      <c r="N47" s="80"/>
      <c r="O47" s="80"/>
    </row>
    <row r="48" spans="2:68" ht="14">
      <c r="I48" s="89"/>
      <c r="L48" s="295"/>
      <c r="M48" s="295"/>
      <c r="N48" s="80"/>
      <c r="O48" s="80"/>
    </row>
  </sheetData>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FD61"/>
  <sheetViews>
    <sheetView tabSelected="1" workbookViewId="0">
      <selection activeCell="CC5" sqref="CC5"/>
    </sheetView>
  </sheetViews>
  <sheetFormatPr baseColWidth="10" defaultColWidth="8.83203125" defaultRowHeight="18.75" customHeight="1"/>
  <cols>
    <col min="1" max="1" width="61.33203125" style="2"/>
    <col min="2" max="2" width="0" style="2" hidden="1"/>
    <col min="3" max="14" width="0" hidden="1"/>
    <col min="15" max="15" width="0" style="2" hidden="1"/>
    <col min="16" max="54" width="0" hidden="1"/>
    <col min="55" max="60" width="0" style="2" hidden="1"/>
    <col min="61" max="61" width="0" hidden="1"/>
    <col min="62" max="63" width="0" style="2" hidden="1"/>
    <col min="64" max="67" width="0" hidden="1"/>
    <col min="68" max="68" width="0" style="2" hidden="1"/>
    <col min="69" max="80" width="0" hidden="1"/>
    <col min="81" max="160" width="15.6640625" style="2"/>
    <col min="161" max="928" width="10.5"/>
    <col min="929" max="929" width="11.5"/>
  </cols>
  <sheetData>
    <row r="1" spans="1:160" ht="14">
      <c r="A1" s="2" t="s">
        <v>254</v>
      </c>
    </row>
    <row r="2" spans="1:160" ht="14">
      <c r="A2" s="2" t="s">
        <v>255</v>
      </c>
    </row>
    <row r="4" spans="1:160" ht="14">
      <c r="B4" s="144">
        <v>42736</v>
      </c>
      <c r="C4" s="144">
        <v>42767</v>
      </c>
      <c r="D4" s="144">
        <v>42795</v>
      </c>
      <c r="E4" s="144">
        <v>42826</v>
      </c>
      <c r="F4" s="144">
        <v>42856</v>
      </c>
      <c r="G4" s="144">
        <v>42887</v>
      </c>
      <c r="H4" s="144">
        <v>42917</v>
      </c>
      <c r="I4" s="144">
        <v>42948</v>
      </c>
      <c r="J4" s="144">
        <v>42979</v>
      </c>
      <c r="K4" s="144">
        <v>43009</v>
      </c>
      <c r="L4" s="144">
        <v>43040</v>
      </c>
      <c r="M4" s="144">
        <v>43070</v>
      </c>
      <c r="N4" s="145" t="s">
        <v>256</v>
      </c>
      <c r="P4" s="144">
        <v>43101</v>
      </c>
      <c r="Q4" s="144">
        <v>43132</v>
      </c>
      <c r="R4" s="144">
        <v>43160</v>
      </c>
      <c r="S4" s="144">
        <v>43191</v>
      </c>
      <c r="T4" s="144">
        <v>43221</v>
      </c>
      <c r="U4" s="144">
        <v>43252</v>
      </c>
      <c r="V4" s="144">
        <v>43282</v>
      </c>
      <c r="W4" s="144">
        <v>43313</v>
      </c>
      <c r="X4" s="144">
        <v>43344</v>
      </c>
      <c r="Y4" s="144">
        <v>43374</v>
      </c>
      <c r="Z4" s="144">
        <v>43405</v>
      </c>
      <c r="AA4" s="144">
        <v>43435</v>
      </c>
      <c r="AB4" s="145" t="s">
        <v>257</v>
      </c>
      <c r="AC4" s="144">
        <v>43466</v>
      </c>
      <c r="AD4" s="144">
        <v>43497</v>
      </c>
      <c r="AE4" s="144">
        <v>43525</v>
      </c>
      <c r="AF4" s="144">
        <v>43556</v>
      </c>
      <c r="AG4" s="144">
        <v>43586</v>
      </c>
      <c r="AH4" s="144">
        <v>43617</v>
      </c>
      <c r="AI4" s="144">
        <v>43647</v>
      </c>
      <c r="AJ4" s="144">
        <v>43678</v>
      </c>
      <c r="AK4" s="144">
        <v>43709</v>
      </c>
      <c r="AL4" s="144">
        <v>43739</v>
      </c>
      <c r="AM4" s="144">
        <v>43770</v>
      </c>
      <c r="AN4" s="144">
        <v>43800</v>
      </c>
      <c r="AO4" s="145" t="s">
        <v>258</v>
      </c>
      <c r="AP4" s="72">
        <v>43831</v>
      </c>
      <c r="AQ4" s="72">
        <v>43862</v>
      </c>
      <c r="AR4" s="72">
        <v>43891</v>
      </c>
      <c r="AS4" s="72">
        <v>43922</v>
      </c>
      <c r="AT4" s="72">
        <v>43952</v>
      </c>
      <c r="AU4" s="72">
        <v>43983</v>
      </c>
      <c r="AV4" s="72">
        <v>44013</v>
      </c>
      <c r="AW4" s="72">
        <v>44044</v>
      </c>
      <c r="AX4" s="72">
        <v>44075</v>
      </c>
      <c r="AY4" s="72">
        <v>44105</v>
      </c>
      <c r="AZ4" s="72">
        <v>44136</v>
      </c>
      <c r="BA4" s="72">
        <v>44166</v>
      </c>
      <c r="BB4" s="145" t="s">
        <v>259</v>
      </c>
      <c r="BC4" s="72">
        <v>44197</v>
      </c>
      <c r="BD4" s="72">
        <v>44228</v>
      </c>
      <c r="BE4" s="72">
        <v>44256</v>
      </c>
      <c r="BF4" s="72">
        <v>44287</v>
      </c>
      <c r="BG4" s="72">
        <v>44317</v>
      </c>
      <c r="BH4" s="72">
        <v>44348</v>
      </c>
      <c r="BI4" s="72">
        <v>44378</v>
      </c>
      <c r="BJ4" s="72">
        <v>44409</v>
      </c>
      <c r="BK4" s="72">
        <v>44440</v>
      </c>
      <c r="BL4" s="72">
        <v>44470</v>
      </c>
      <c r="BM4" s="72">
        <v>44501</v>
      </c>
      <c r="BN4" s="72">
        <v>44531</v>
      </c>
      <c r="BO4" s="145" t="s">
        <v>260</v>
      </c>
      <c r="BP4" s="312">
        <v>44562</v>
      </c>
      <c r="BQ4" s="312">
        <v>44593</v>
      </c>
      <c r="BR4" s="312">
        <v>44621</v>
      </c>
      <c r="BS4" s="312">
        <v>44652</v>
      </c>
      <c r="BT4" s="312">
        <v>44682</v>
      </c>
      <c r="BU4" s="312">
        <v>44713</v>
      </c>
      <c r="BV4" s="312">
        <v>44743</v>
      </c>
      <c r="BW4" s="312">
        <v>44774</v>
      </c>
      <c r="BX4" s="312">
        <v>44805</v>
      </c>
      <c r="BY4" s="312">
        <v>44835</v>
      </c>
      <c r="BZ4" s="312">
        <v>44866</v>
      </c>
      <c r="CA4" s="312">
        <v>44896</v>
      </c>
      <c r="CB4" s="145" t="s">
        <v>261</v>
      </c>
      <c r="CC4" s="312">
        <v>44927</v>
      </c>
      <c r="CD4" s="312">
        <v>44958</v>
      </c>
      <c r="CE4" s="312">
        <v>44986</v>
      </c>
      <c r="CF4" s="312">
        <v>45017</v>
      </c>
      <c r="CG4" s="312">
        <v>45047</v>
      </c>
      <c r="CH4" s="312">
        <v>45078</v>
      </c>
      <c r="CI4" s="312">
        <v>45108</v>
      </c>
      <c r="CJ4" s="312">
        <v>45139</v>
      </c>
      <c r="CK4" s="312">
        <v>45170</v>
      </c>
      <c r="CL4" s="312">
        <v>45200</v>
      </c>
      <c r="CM4" s="312">
        <v>45231</v>
      </c>
      <c r="CN4" s="312">
        <v>45261</v>
      </c>
      <c r="CO4" s="145" t="s">
        <v>262</v>
      </c>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48"/>
    </row>
    <row r="5" spans="1:160" ht="14">
      <c r="A5" s="90" t="s">
        <v>263</v>
      </c>
      <c r="B5" s="147"/>
      <c r="C5" s="147"/>
      <c r="D5" s="147"/>
      <c r="E5" s="147"/>
      <c r="F5" s="147"/>
      <c r="G5" s="147"/>
      <c r="H5" s="147"/>
      <c r="I5" s="147"/>
      <c r="J5" s="147"/>
      <c r="K5" s="147"/>
      <c r="L5" s="147"/>
      <c r="M5" s="147"/>
      <c r="N5" s="90"/>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row>
    <row r="6" spans="1:160" ht="14">
      <c r="A6" s="150" t="s">
        <v>333</v>
      </c>
      <c r="B6" s="151">
        <v>23000</v>
      </c>
      <c r="C6" s="151">
        <v>23000</v>
      </c>
      <c r="D6" s="151">
        <v>23000</v>
      </c>
      <c r="E6" s="151">
        <v>23000</v>
      </c>
      <c r="F6" s="151">
        <v>23000</v>
      </c>
      <c r="G6" s="151">
        <v>23000</v>
      </c>
      <c r="H6" s="151">
        <v>23000</v>
      </c>
      <c r="I6" s="151">
        <v>23000</v>
      </c>
      <c r="J6" s="151">
        <v>23000</v>
      </c>
      <c r="K6" s="151">
        <v>23000</v>
      </c>
      <c r="L6" s="151">
        <v>23000</v>
      </c>
      <c r="M6" s="151">
        <v>23000</v>
      </c>
      <c r="N6" s="152"/>
      <c r="O6" s="150" t="s">
        <v>264</v>
      </c>
      <c r="P6" s="151">
        <v>2000</v>
      </c>
      <c r="Q6" s="151">
        <v>2000</v>
      </c>
      <c r="R6" s="151">
        <v>2000</v>
      </c>
      <c r="S6" s="151">
        <v>2000</v>
      </c>
      <c r="T6" s="151">
        <v>2000</v>
      </c>
      <c r="U6" s="151">
        <v>2000</v>
      </c>
      <c r="V6" s="151">
        <v>2000</v>
      </c>
      <c r="W6" s="151">
        <v>2000</v>
      </c>
      <c r="X6" s="151">
        <v>2000</v>
      </c>
      <c r="Y6" s="151">
        <v>2000</v>
      </c>
      <c r="Z6" s="151">
        <v>2000</v>
      </c>
      <c r="AA6" s="151">
        <v>2000</v>
      </c>
      <c r="AB6" s="153">
        <f t="shared" ref="AB6:AB16" si="0">SUM(P6:AA6)</f>
        <v>24000</v>
      </c>
      <c r="AC6" s="151"/>
      <c r="AD6" s="151"/>
      <c r="AE6" s="151"/>
      <c r="AF6" s="151"/>
      <c r="AG6" s="151"/>
      <c r="AH6" s="151"/>
      <c r="AI6" s="151"/>
      <c r="AJ6" s="151"/>
      <c r="AK6" s="151"/>
      <c r="AL6" s="151"/>
      <c r="AM6" s="151"/>
      <c r="AN6" s="151"/>
      <c r="AO6" s="153">
        <f t="shared" ref="AO6:AO13" si="1">SUM(AC6:AN6)</f>
        <v>0</v>
      </c>
      <c r="AP6" s="299"/>
      <c r="AQ6" s="299"/>
      <c r="AR6" s="299"/>
      <c r="AS6" s="299"/>
      <c r="AT6" s="299"/>
      <c r="AU6" s="299"/>
      <c r="AV6" s="299"/>
      <c r="AW6" s="299"/>
      <c r="AX6" s="299"/>
      <c r="AY6" s="299"/>
      <c r="AZ6" s="299"/>
      <c r="BA6" s="299"/>
      <c r="BB6" s="164">
        <f t="shared" ref="BB6:BB15" si="2">SUM(AP6:BA6)</f>
        <v>0</v>
      </c>
      <c r="BC6" s="299"/>
      <c r="BD6" s="299"/>
      <c r="BE6" s="299"/>
      <c r="BF6" s="299"/>
      <c r="BG6" s="299"/>
      <c r="BH6" s="299"/>
      <c r="BI6" s="299"/>
      <c r="BJ6" s="299"/>
      <c r="BK6" s="299"/>
      <c r="BL6" s="299"/>
      <c r="BM6" s="299"/>
      <c r="BN6" s="299"/>
      <c r="BO6" s="164">
        <f t="shared" ref="BO6:BO16" si="3">SUM(BC6:BN6)</f>
        <v>0</v>
      </c>
      <c r="BP6" s="185"/>
      <c r="BQ6" s="185"/>
      <c r="BR6" s="185"/>
      <c r="BS6" s="185"/>
      <c r="BT6" s="185"/>
      <c r="BU6" s="185"/>
      <c r="BV6" s="185"/>
      <c r="BW6" s="185"/>
      <c r="BX6" s="185"/>
      <c r="BY6" s="185"/>
      <c r="BZ6" s="185"/>
      <c r="CA6" s="185"/>
      <c r="CB6" s="164">
        <f t="shared" ref="CB6:CB9" si="4">SUM(BP6:CA6)</f>
        <v>0</v>
      </c>
      <c r="CC6" s="151">
        <v>2425.11</v>
      </c>
      <c r="CD6" s="313">
        <f t="shared" ref="CD6:CD13" si="5">CC6</f>
        <v>2425.11</v>
      </c>
      <c r="CE6" s="313">
        <f t="shared" ref="CE6:CE13" si="6">CD6</f>
        <v>2425.11</v>
      </c>
      <c r="CF6" s="313">
        <f t="shared" ref="CF6:CF13" si="7">CE6</f>
        <v>2425.11</v>
      </c>
      <c r="CG6" s="313">
        <f t="shared" ref="CG6:CG13" si="8">CF6</f>
        <v>2425.11</v>
      </c>
      <c r="CH6" s="313">
        <f t="shared" ref="CH6:CH13" si="9">CG6</f>
        <v>2425.11</v>
      </c>
      <c r="CI6" s="313">
        <f t="shared" ref="CI6:CI13" si="10">CH6</f>
        <v>2425.11</v>
      </c>
      <c r="CJ6" s="313">
        <f t="shared" ref="CJ6:CJ13" si="11">CI6</f>
        <v>2425.11</v>
      </c>
      <c r="CK6" s="313">
        <f t="shared" ref="CK6:CK13" si="12">CJ6</f>
        <v>2425.11</v>
      </c>
      <c r="CL6" s="313">
        <f t="shared" ref="CL6:CL13" si="13">CK6</f>
        <v>2425.11</v>
      </c>
      <c r="CM6" s="313">
        <f t="shared" ref="CM6:CM13" si="14">CL6</f>
        <v>2425.11</v>
      </c>
      <c r="CN6" s="313">
        <f t="shared" ref="CN6:CN13" si="15">CM6</f>
        <v>2425.11</v>
      </c>
      <c r="CO6" s="164">
        <f t="shared" ref="CO6:CO16" si="16">SUM(CC6:CN6)</f>
        <v>29101.320000000003</v>
      </c>
      <c r="CP6" s="185"/>
      <c r="CQ6" s="185"/>
      <c r="CR6" s="185"/>
      <c r="CS6" s="185"/>
      <c r="CT6" s="185"/>
      <c r="CU6" s="185"/>
      <c r="CV6" s="185"/>
      <c r="CW6" s="185"/>
      <c r="CX6" s="185"/>
      <c r="CY6" s="185"/>
      <c r="CZ6" s="185"/>
      <c r="DA6" s="185"/>
      <c r="DB6" s="185"/>
      <c r="DC6" s="185"/>
      <c r="DD6" s="185"/>
      <c r="DE6" s="185"/>
      <c r="DF6" s="185"/>
      <c r="DG6" s="185"/>
      <c r="DH6" s="185"/>
      <c r="DI6" s="185"/>
      <c r="DJ6" s="185"/>
      <c r="DK6" s="185"/>
      <c r="DL6" s="185"/>
      <c r="DM6" s="185"/>
      <c r="DN6" s="185"/>
      <c r="DO6" s="185"/>
      <c r="DP6" s="185"/>
      <c r="DQ6" s="185"/>
      <c r="DR6" s="185"/>
      <c r="DS6" s="185"/>
      <c r="DT6" s="185"/>
      <c r="DU6" s="185"/>
      <c r="DV6" s="185"/>
      <c r="DW6" s="185"/>
      <c r="DX6" s="185"/>
      <c r="DY6" s="185"/>
      <c r="DZ6" s="185"/>
      <c r="EA6" s="185"/>
      <c r="EB6" s="185"/>
      <c r="EC6" s="185"/>
      <c r="ED6" s="185"/>
      <c r="EE6" s="185"/>
      <c r="EF6" s="185"/>
      <c r="EG6" s="185"/>
      <c r="EH6" s="185"/>
      <c r="EI6" s="185"/>
      <c r="EJ6" s="185"/>
      <c r="EK6" s="185"/>
      <c r="EL6" s="185"/>
      <c r="EM6" s="185"/>
      <c r="EN6" s="185"/>
      <c r="EO6" s="185"/>
      <c r="EP6" s="185"/>
      <c r="EQ6" s="185"/>
      <c r="ER6" s="185"/>
      <c r="ES6" s="185"/>
      <c r="ET6" s="185"/>
      <c r="EU6" s="185"/>
      <c r="EV6" s="185"/>
      <c r="EW6" s="185"/>
      <c r="EX6" s="185"/>
      <c r="EY6" s="185"/>
      <c r="EZ6" s="185"/>
      <c r="FA6" s="185"/>
      <c r="FB6" s="185"/>
      <c r="FC6" s="185"/>
      <c r="FD6" s="185"/>
    </row>
    <row r="7" spans="1:160" ht="14">
      <c r="A7" s="296" t="s">
        <v>306</v>
      </c>
      <c r="B7" s="167">
        <v>23000</v>
      </c>
      <c r="C7" s="167">
        <v>23000</v>
      </c>
      <c r="D7" s="167">
        <v>23000</v>
      </c>
      <c r="E7" s="167">
        <v>23000</v>
      </c>
      <c r="F7" s="167">
        <v>23000</v>
      </c>
      <c r="G7" s="167">
        <v>23000</v>
      </c>
      <c r="H7" s="167">
        <v>23000</v>
      </c>
      <c r="I7" s="167">
        <v>23000</v>
      </c>
      <c r="J7" s="167">
        <v>23000</v>
      </c>
      <c r="K7" s="167">
        <v>23000</v>
      </c>
      <c r="L7" s="167">
        <v>23000</v>
      </c>
      <c r="M7" s="167">
        <v>23000</v>
      </c>
      <c r="N7" s="168"/>
      <c r="O7" s="296" t="s">
        <v>265</v>
      </c>
      <c r="P7" s="167">
        <v>3500</v>
      </c>
      <c r="Q7" s="167">
        <v>3500</v>
      </c>
      <c r="R7" s="167">
        <v>3500</v>
      </c>
      <c r="S7" s="167">
        <v>3500</v>
      </c>
      <c r="T7" s="167">
        <v>3500</v>
      </c>
      <c r="U7" s="167">
        <v>3500</v>
      </c>
      <c r="V7" s="167">
        <v>3500</v>
      </c>
      <c r="W7" s="167">
        <v>3500</v>
      </c>
      <c r="X7" s="167">
        <v>3500</v>
      </c>
      <c r="Y7" s="167">
        <v>3500</v>
      </c>
      <c r="Z7" s="167">
        <v>3500</v>
      </c>
      <c r="AA7" s="167">
        <v>3500</v>
      </c>
      <c r="AB7" s="305">
        <f t="shared" si="0"/>
        <v>42000</v>
      </c>
      <c r="AC7" s="167">
        <f t="shared" ref="AC7:AC9" si="17">P7*1.08</f>
        <v>3780.0000000000005</v>
      </c>
      <c r="AD7" s="167">
        <f t="shared" ref="AD7:AD9" si="18">Q7*1.08</f>
        <v>3780.0000000000005</v>
      </c>
      <c r="AE7" s="167">
        <f t="shared" ref="AE7:AE9" si="19">R7*1.08</f>
        <v>3780.0000000000005</v>
      </c>
      <c r="AF7" s="167">
        <f t="shared" ref="AF7:AF9" si="20">S7*1.08</f>
        <v>3780.0000000000005</v>
      </c>
      <c r="AG7" s="167">
        <f t="shared" ref="AG7:AG9" si="21">T7*1.08</f>
        <v>3780.0000000000005</v>
      </c>
      <c r="AH7" s="167">
        <f t="shared" ref="AH7:AH9" si="22">U7*1.08</f>
        <v>3780.0000000000005</v>
      </c>
      <c r="AI7" s="167">
        <f t="shared" ref="AI7:AI9" si="23">V7*1.08</f>
        <v>3780.0000000000005</v>
      </c>
      <c r="AJ7" s="167">
        <f t="shared" ref="AJ7:AJ9" si="24">W7*1.08</f>
        <v>3780.0000000000005</v>
      </c>
      <c r="AK7" s="167">
        <f t="shared" ref="AK7:AK9" si="25">X7*1.08</f>
        <v>3780.0000000000005</v>
      </c>
      <c r="AL7" s="167">
        <f t="shared" ref="AL7:AL9" si="26">Y7*1.08</f>
        <v>3780.0000000000005</v>
      </c>
      <c r="AM7" s="167">
        <f t="shared" ref="AM7:AM9" si="27">Z7*1.08</f>
        <v>3780.0000000000005</v>
      </c>
      <c r="AN7" s="167">
        <f t="shared" ref="AN7:AN9" si="28">AA7*1.08</f>
        <v>3780.0000000000005</v>
      </c>
      <c r="AO7" s="305">
        <f t="shared" si="1"/>
        <v>45360.000000000007</v>
      </c>
      <c r="AP7" s="167">
        <v>3100</v>
      </c>
      <c r="AQ7" s="167">
        <f t="shared" ref="AQ7:AQ9" si="29">AP7</f>
        <v>3100</v>
      </c>
      <c r="AR7" s="167">
        <f t="shared" ref="AR7:AR9" si="30">AQ7</f>
        <v>3100</v>
      </c>
      <c r="AS7" s="167">
        <f t="shared" ref="AS7:AS9" si="31">AR7</f>
        <v>3100</v>
      </c>
      <c r="AT7" s="167">
        <f t="shared" ref="AT7:AT9" si="32">AS7</f>
        <v>3100</v>
      </c>
      <c r="AU7" s="167">
        <f t="shared" ref="AU7:AU9" si="33">AT7</f>
        <v>3100</v>
      </c>
      <c r="AV7" s="167">
        <f t="shared" ref="AV7:AV9" si="34">AU7</f>
        <v>3100</v>
      </c>
      <c r="AW7" s="167">
        <f t="shared" ref="AW7:AW9" si="35">AV7</f>
        <v>3100</v>
      </c>
      <c r="AX7" s="167">
        <f t="shared" ref="AX7:AX9" si="36">AW7</f>
        <v>3100</v>
      </c>
      <c r="AY7" s="167">
        <f t="shared" ref="AY7:AY9" si="37">AX7</f>
        <v>3100</v>
      </c>
      <c r="AZ7" s="167">
        <f t="shared" ref="AZ7:AZ9" si="38">AY7</f>
        <v>3100</v>
      </c>
      <c r="BA7" s="167">
        <f t="shared" ref="BA7:BA9" si="39">AZ7</f>
        <v>3100</v>
      </c>
      <c r="BB7" s="305">
        <f t="shared" si="2"/>
        <v>37200</v>
      </c>
      <c r="BC7" s="167">
        <v>3100</v>
      </c>
      <c r="BD7" s="167">
        <f t="shared" ref="BD7:BD8" si="40">BC7</f>
        <v>3100</v>
      </c>
      <c r="BE7" s="167">
        <f t="shared" ref="BE7:BE13" si="41">BD7</f>
        <v>3100</v>
      </c>
      <c r="BF7" s="167">
        <f t="shared" ref="BF7:BF12" si="42">BE7</f>
        <v>3100</v>
      </c>
      <c r="BG7" s="167">
        <f t="shared" ref="BG7:BG13" si="43">BF7</f>
        <v>3100</v>
      </c>
      <c r="BH7" s="167">
        <f t="shared" ref="BH7:BH13" si="44">BG7</f>
        <v>3100</v>
      </c>
      <c r="BI7" s="167">
        <f t="shared" ref="BI7:BI13" si="45">BH7</f>
        <v>3100</v>
      </c>
      <c r="BJ7" s="167">
        <f t="shared" ref="BJ7:BJ13" si="46">BI7</f>
        <v>3100</v>
      </c>
      <c r="BK7" s="167">
        <f t="shared" ref="BK7:BK13" si="47">BJ7</f>
        <v>3100</v>
      </c>
      <c r="BL7" s="167">
        <f t="shared" ref="BL7:BL13" si="48">BK7</f>
        <v>3100</v>
      </c>
      <c r="BM7" s="167">
        <f t="shared" ref="BM7:BM13" si="49">BL7</f>
        <v>3100</v>
      </c>
      <c r="BN7" s="167">
        <f t="shared" ref="BN7:BN13" si="50">BM7</f>
        <v>3100</v>
      </c>
      <c r="BO7" s="305">
        <f t="shared" si="3"/>
        <v>37200</v>
      </c>
      <c r="BP7" s="167">
        <f>BN7*1.08</f>
        <v>3348</v>
      </c>
      <c r="BQ7" s="167">
        <f t="shared" ref="BQ7:BQ12" si="51">BP7</f>
        <v>3348</v>
      </c>
      <c r="BR7" s="167">
        <f t="shared" ref="BR7:BR12" si="52">BQ7</f>
        <v>3348</v>
      </c>
      <c r="BS7" s="167">
        <f t="shared" ref="BS7:BS12" si="53">BR7</f>
        <v>3348</v>
      </c>
      <c r="BT7" s="167">
        <f t="shared" ref="BT7:BT12" si="54">BS7</f>
        <v>3348</v>
      </c>
      <c r="BU7" s="167">
        <f t="shared" ref="BU7:BU12" si="55">BT7</f>
        <v>3348</v>
      </c>
      <c r="BV7" s="167">
        <f t="shared" ref="BV7:BV12" si="56">BU7</f>
        <v>3348</v>
      </c>
      <c r="BW7" s="167">
        <f t="shared" ref="BW7:BW12" si="57">BV7</f>
        <v>3348</v>
      </c>
      <c r="BX7" s="167">
        <f t="shared" ref="BX7:BX12" si="58">BW7</f>
        <v>3348</v>
      </c>
      <c r="BY7" s="167">
        <f t="shared" ref="BY7:BY12" si="59">BX7</f>
        <v>3348</v>
      </c>
      <c r="BZ7" s="167">
        <f t="shared" ref="BZ7:BZ12" si="60">BY7</f>
        <v>3348</v>
      </c>
      <c r="CA7" s="167">
        <f t="shared" ref="CA7:CA12" si="61">BZ7</f>
        <v>3348</v>
      </c>
      <c r="CB7" s="305">
        <f t="shared" si="4"/>
        <v>40176</v>
      </c>
      <c r="CC7" s="167">
        <v>3450</v>
      </c>
      <c r="CD7" s="167">
        <v>3450</v>
      </c>
      <c r="CE7" s="167">
        <v>3450</v>
      </c>
      <c r="CF7" s="167">
        <v>3450</v>
      </c>
      <c r="CG7" s="167">
        <v>3450</v>
      </c>
      <c r="CH7" s="167">
        <v>3450</v>
      </c>
      <c r="CI7" s="167">
        <v>3450</v>
      </c>
      <c r="CJ7" s="167">
        <v>3450</v>
      </c>
      <c r="CK7" s="167">
        <v>3450</v>
      </c>
      <c r="CL7" s="167">
        <v>3450</v>
      </c>
      <c r="CM7" s="167">
        <v>3450</v>
      </c>
      <c r="CN7" s="167">
        <v>3450</v>
      </c>
      <c r="CO7" s="305">
        <f t="shared" si="16"/>
        <v>41400</v>
      </c>
      <c r="CP7" s="185"/>
      <c r="CQ7" s="185"/>
      <c r="CR7" s="185"/>
      <c r="CS7" s="185"/>
      <c r="CT7" s="185"/>
      <c r="CU7" s="185"/>
      <c r="CV7" s="185"/>
      <c r="CW7" s="185"/>
      <c r="CX7" s="185"/>
      <c r="CY7" s="185"/>
      <c r="CZ7" s="185"/>
      <c r="DA7" s="185"/>
      <c r="DB7" s="185"/>
      <c r="DC7" s="185"/>
      <c r="DD7" s="185"/>
      <c r="DE7" s="185"/>
      <c r="DF7" s="185"/>
      <c r="DG7" s="185"/>
      <c r="DH7" s="185"/>
      <c r="DI7" s="185"/>
      <c r="DJ7" s="185"/>
      <c r="DK7" s="185"/>
      <c r="DL7" s="185"/>
      <c r="DM7" s="185"/>
      <c r="DN7" s="185"/>
      <c r="DO7" s="185"/>
      <c r="DP7" s="185"/>
      <c r="DQ7" s="185"/>
      <c r="DR7" s="185"/>
      <c r="DS7" s="185"/>
      <c r="DT7" s="185"/>
      <c r="DU7" s="185"/>
      <c r="DV7" s="185"/>
      <c r="DW7" s="185"/>
      <c r="DX7" s="185"/>
      <c r="DY7" s="185"/>
      <c r="DZ7" s="185"/>
      <c r="EA7" s="185"/>
      <c r="EB7" s="185"/>
      <c r="EC7" s="185"/>
      <c r="ED7" s="185"/>
      <c r="EE7" s="185"/>
      <c r="EF7" s="185"/>
      <c r="EG7" s="185"/>
      <c r="EH7" s="185"/>
      <c r="EI7" s="185"/>
      <c r="EJ7" s="185"/>
      <c r="EK7" s="185"/>
      <c r="EL7" s="185"/>
      <c r="EM7" s="185"/>
      <c r="EN7" s="185"/>
      <c r="EO7" s="185"/>
      <c r="EP7" s="185"/>
      <c r="EQ7" s="185"/>
      <c r="ER7" s="185"/>
      <c r="ES7" s="185"/>
      <c r="ET7" s="185"/>
      <c r="EU7" s="185"/>
      <c r="EV7" s="185"/>
      <c r="EW7" s="185"/>
      <c r="EX7" s="185"/>
      <c r="EY7" s="185"/>
      <c r="EZ7" s="185"/>
      <c r="FA7" s="185"/>
      <c r="FB7" s="185"/>
      <c r="FC7" s="185"/>
      <c r="FD7" s="185"/>
    </row>
    <row r="8" spans="1:160" ht="14">
      <c r="A8" s="150" t="s">
        <v>334</v>
      </c>
      <c r="B8" s="151">
        <v>16000</v>
      </c>
      <c r="C8" s="151">
        <v>16000</v>
      </c>
      <c r="D8" s="151">
        <v>16000</v>
      </c>
      <c r="E8" s="151">
        <v>16000</v>
      </c>
      <c r="F8" s="151">
        <v>16000</v>
      </c>
      <c r="G8" s="151">
        <v>16000</v>
      </c>
      <c r="H8" s="151">
        <v>16000</v>
      </c>
      <c r="I8" s="151">
        <v>16000</v>
      </c>
      <c r="J8" s="151">
        <v>16000</v>
      </c>
      <c r="K8" s="151">
        <v>25000</v>
      </c>
      <c r="L8" s="151">
        <v>25000</v>
      </c>
      <c r="M8" s="151">
        <v>25000</v>
      </c>
      <c r="N8" s="152"/>
      <c r="O8" s="150" t="s">
        <v>266</v>
      </c>
      <c r="P8" s="151">
        <v>150</v>
      </c>
      <c r="Q8" s="151">
        <v>150</v>
      </c>
      <c r="R8" s="151">
        <v>150</v>
      </c>
      <c r="S8" s="151">
        <v>150</v>
      </c>
      <c r="T8" s="151">
        <v>150</v>
      </c>
      <c r="U8" s="151">
        <v>150</v>
      </c>
      <c r="V8" s="151">
        <v>150</v>
      </c>
      <c r="W8" s="151">
        <v>150</v>
      </c>
      <c r="X8" s="151">
        <v>150</v>
      </c>
      <c r="Y8" s="151">
        <v>150</v>
      </c>
      <c r="Z8" s="151">
        <v>150</v>
      </c>
      <c r="AA8" s="151">
        <v>150</v>
      </c>
      <c r="AB8" s="164">
        <f t="shared" si="0"/>
        <v>1800</v>
      </c>
      <c r="AC8" s="151">
        <f t="shared" si="17"/>
        <v>162</v>
      </c>
      <c r="AD8" s="151">
        <f t="shared" si="18"/>
        <v>162</v>
      </c>
      <c r="AE8" s="151">
        <f t="shared" si="19"/>
        <v>162</v>
      </c>
      <c r="AF8" s="151">
        <f t="shared" si="20"/>
        <v>162</v>
      </c>
      <c r="AG8" s="151">
        <f t="shared" si="21"/>
        <v>162</v>
      </c>
      <c r="AH8" s="151">
        <f t="shared" si="22"/>
        <v>162</v>
      </c>
      <c r="AI8" s="151">
        <f t="shared" si="23"/>
        <v>162</v>
      </c>
      <c r="AJ8" s="151">
        <f t="shared" si="24"/>
        <v>162</v>
      </c>
      <c r="AK8" s="151">
        <f t="shared" si="25"/>
        <v>162</v>
      </c>
      <c r="AL8" s="151">
        <f t="shared" si="26"/>
        <v>162</v>
      </c>
      <c r="AM8" s="151">
        <f t="shared" si="27"/>
        <v>162</v>
      </c>
      <c r="AN8" s="151">
        <f t="shared" si="28"/>
        <v>162</v>
      </c>
      <c r="AO8" s="164">
        <f t="shared" si="1"/>
        <v>1944</v>
      </c>
      <c r="AP8" s="151">
        <f>AN8*1.05</f>
        <v>170.1</v>
      </c>
      <c r="AQ8" s="151">
        <f t="shared" si="29"/>
        <v>170.1</v>
      </c>
      <c r="AR8" s="151">
        <f t="shared" si="30"/>
        <v>170.1</v>
      </c>
      <c r="AS8" s="151">
        <f t="shared" si="31"/>
        <v>170.1</v>
      </c>
      <c r="AT8" s="151">
        <f t="shared" si="32"/>
        <v>170.1</v>
      </c>
      <c r="AU8" s="151">
        <f t="shared" si="33"/>
        <v>170.1</v>
      </c>
      <c r="AV8" s="151">
        <f t="shared" si="34"/>
        <v>170.1</v>
      </c>
      <c r="AW8" s="151">
        <f t="shared" si="35"/>
        <v>170.1</v>
      </c>
      <c r="AX8" s="151">
        <f t="shared" si="36"/>
        <v>170.1</v>
      </c>
      <c r="AY8" s="151">
        <f t="shared" si="37"/>
        <v>170.1</v>
      </c>
      <c r="AZ8" s="151">
        <f t="shared" si="38"/>
        <v>170.1</v>
      </c>
      <c r="BA8" s="151">
        <f t="shared" si="39"/>
        <v>170.1</v>
      </c>
      <c r="BB8" s="164">
        <f t="shared" si="2"/>
        <v>2041.1999999999996</v>
      </c>
      <c r="BC8" s="151">
        <f t="shared" ref="BC8:BC9" si="62">BA8*1.05</f>
        <v>178.60499999999999</v>
      </c>
      <c r="BD8" s="151">
        <f t="shared" si="40"/>
        <v>178.60499999999999</v>
      </c>
      <c r="BE8" s="151">
        <f t="shared" si="41"/>
        <v>178.60499999999999</v>
      </c>
      <c r="BF8" s="151">
        <f t="shared" si="42"/>
        <v>178.60499999999999</v>
      </c>
      <c r="BG8" s="151">
        <f t="shared" si="43"/>
        <v>178.60499999999999</v>
      </c>
      <c r="BH8" s="151">
        <f t="shared" si="44"/>
        <v>178.60499999999999</v>
      </c>
      <c r="BI8" s="151">
        <f t="shared" si="45"/>
        <v>178.60499999999999</v>
      </c>
      <c r="BJ8" s="151">
        <f t="shared" si="46"/>
        <v>178.60499999999999</v>
      </c>
      <c r="BK8" s="151">
        <f t="shared" si="47"/>
        <v>178.60499999999999</v>
      </c>
      <c r="BL8" s="151">
        <f t="shared" si="48"/>
        <v>178.60499999999999</v>
      </c>
      <c r="BM8" s="151">
        <f t="shared" si="49"/>
        <v>178.60499999999999</v>
      </c>
      <c r="BN8" s="151">
        <f t="shared" si="50"/>
        <v>178.60499999999999</v>
      </c>
      <c r="BO8" s="164">
        <f t="shared" si="3"/>
        <v>2143.2599999999998</v>
      </c>
      <c r="BP8" s="151">
        <f>BC8*1.08</f>
        <v>192.89340000000001</v>
      </c>
      <c r="BQ8" s="151">
        <f t="shared" si="51"/>
        <v>192.89340000000001</v>
      </c>
      <c r="BR8" s="151">
        <f t="shared" si="52"/>
        <v>192.89340000000001</v>
      </c>
      <c r="BS8" s="151">
        <f t="shared" si="53"/>
        <v>192.89340000000001</v>
      </c>
      <c r="BT8" s="151">
        <f t="shared" si="54"/>
        <v>192.89340000000001</v>
      </c>
      <c r="BU8" s="151">
        <f t="shared" si="55"/>
        <v>192.89340000000001</v>
      </c>
      <c r="BV8" s="151">
        <f t="shared" si="56"/>
        <v>192.89340000000001</v>
      </c>
      <c r="BW8" s="151">
        <f t="shared" si="57"/>
        <v>192.89340000000001</v>
      </c>
      <c r="BX8" s="151">
        <f t="shared" si="58"/>
        <v>192.89340000000001</v>
      </c>
      <c r="BY8" s="151">
        <f t="shared" si="59"/>
        <v>192.89340000000001</v>
      </c>
      <c r="BZ8" s="151">
        <f t="shared" si="60"/>
        <v>192.89340000000001</v>
      </c>
      <c r="CA8" s="151">
        <f t="shared" si="61"/>
        <v>192.89340000000001</v>
      </c>
      <c r="CB8" s="164">
        <f t="shared" si="4"/>
        <v>2314.7207999999996</v>
      </c>
      <c r="CC8" s="151">
        <f>215</f>
        <v>215</v>
      </c>
      <c r="CD8" s="151">
        <f>215</f>
        <v>215</v>
      </c>
      <c r="CE8" s="151">
        <f>215</f>
        <v>215</v>
      </c>
      <c r="CF8" s="151">
        <f>215</f>
        <v>215</v>
      </c>
      <c r="CG8" s="151">
        <f>215</f>
        <v>215</v>
      </c>
      <c r="CH8" s="151">
        <f>215</f>
        <v>215</v>
      </c>
      <c r="CI8" s="151">
        <f>215</f>
        <v>215</v>
      </c>
      <c r="CJ8" s="151">
        <f>215</f>
        <v>215</v>
      </c>
      <c r="CK8" s="151">
        <f>215</f>
        <v>215</v>
      </c>
      <c r="CL8" s="151">
        <f>215</f>
        <v>215</v>
      </c>
      <c r="CM8" s="151">
        <f>215</f>
        <v>215</v>
      </c>
      <c r="CN8" s="151">
        <f>215</f>
        <v>215</v>
      </c>
      <c r="CO8" s="164">
        <f t="shared" si="16"/>
        <v>2580</v>
      </c>
      <c r="CP8" s="185"/>
      <c r="CQ8" s="185"/>
      <c r="CR8" s="185"/>
      <c r="CS8" s="185"/>
      <c r="CT8" s="185"/>
      <c r="CU8" s="185"/>
      <c r="CV8" s="185"/>
      <c r="CW8" s="185"/>
      <c r="CX8" s="185"/>
      <c r="CY8" s="185"/>
      <c r="CZ8" s="185"/>
      <c r="DA8" s="185"/>
      <c r="DB8" s="185"/>
      <c r="DC8" s="185"/>
      <c r="DD8" s="185"/>
      <c r="DE8" s="185"/>
      <c r="DF8" s="185"/>
      <c r="DG8" s="185"/>
      <c r="DH8" s="185"/>
      <c r="DI8" s="185"/>
      <c r="DJ8" s="185"/>
      <c r="DK8" s="185"/>
      <c r="DL8" s="185"/>
      <c r="DM8" s="185"/>
      <c r="DN8" s="185"/>
      <c r="DO8" s="185"/>
      <c r="DP8" s="185"/>
      <c r="DQ8" s="185"/>
      <c r="DR8" s="185"/>
      <c r="DS8" s="185"/>
      <c r="DT8" s="185"/>
      <c r="DU8" s="185"/>
      <c r="DV8" s="185"/>
      <c r="DW8" s="185"/>
      <c r="DX8" s="185"/>
      <c r="DY8" s="185"/>
      <c r="DZ8" s="185"/>
      <c r="EA8" s="185"/>
      <c r="EB8" s="185"/>
      <c r="EC8" s="185"/>
      <c r="ED8" s="185"/>
      <c r="EE8" s="185"/>
      <c r="EF8" s="185"/>
      <c r="EG8" s="185"/>
      <c r="EH8" s="185"/>
      <c r="EI8" s="185"/>
      <c r="EJ8" s="185"/>
      <c r="EK8" s="185"/>
      <c r="EL8" s="185"/>
      <c r="EM8" s="185"/>
      <c r="EN8" s="185"/>
      <c r="EO8" s="185"/>
      <c r="EP8" s="185"/>
      <c r="EQ8" s="185"/>
      <c r="ER8" s="185"/>
      <c r="ES8" s="185"/>
      <c r="ET8" s="185"/>
      <c r="EU8" s="185"/>
      <c r="EV8" s="185"/>
      <c r="EW8" s="185"/>
      <c r="EX8" s="185"/>
      <c r="EY8" s="185"/>
      <c r="EZ8" s="185"/>
      <c r="FA8" s="185"/>
      <c r="FB8" s="185"/>
      <c r="FC8" s="185"/>
      <c r="FD8" s="185"/>
    </row>
    <row r="9" spans="1:160" ht="14">
      <c r="A9" s="296"/>
      <c r="B9" s="167">
        <v>15000</v>
      </c>
      <c r="C9" s="167">
        <v>15000</v>
      </c>
      <c r="D9" s="167">
        <v>15000</v>
      </c>
      <c r="E9" s="167">
        <v>15000</v>
      </c>
      <c r="F9" s="167">
        <v>15000</v>
      </c>
      <c r="G9" s="167">
        <v>15000</v>
      </c>
      <c r="H9" s="167">
        <v>15000</v>
      </c>
      <c r="I9" s="167">
        <v>15000</v>
      </c>
      <c r="J9" s="167">
        <v>15000</v>
      </c>
      <c r="K9" s="167">
        <v>15000</v>
      </c>
      <c r="L9" s="167">
        <v>15000</v>
      </c>
      <c r="M9" s="167">
        <v>15000</v>
      </c>
      <c r="N9" s="168"/>
      <c r="O9" s="296" t="s">
        <v>267</v>
      </c>
      <c r="P9" s="167">
        <v>700</v>
      </c>
      <c r="Q9" s="167">
        <v>700</v>
      </c>
      <c r="R9" s="167">
        <v>700</v>
      </c>
      <c r="S9" s="167">
        <v>700</v>
      </c>
      <c r="T9" s="167">
        <v>700</v>
      </c>
      <c r="U9" s="167">
        <v>700</v>
      </c>
      <c r="V9" s="167">
        <v>700</v>
      </c>
      <c r="W9" s="167">
        <v>700</v>
      </c>
      <c r="X9" s="167">
        <v>700</v>
      </c>
      <c r="Y9" s="167">
        <v>700</v>
      </c>
      <c r="Z9" s="167">
        <v>700</v>
      </c>
      <c r="AA9" s="167">
        <v>700</v>
      </c>
      <c r="AB9" s="305">
        <f t="shared" si="0"/>
        <v>8400</v>
      </c>
      <c r="AC9" s="167">
        <f t="shared" si="17"/>
        <v>756</v>
      </c>
      <c r="AD9" s="167">
        <f t="shared" si="18"/>
        <v>756</v>
      </c>
      <c r="AE9" s="167">
        <f t="shared" si="19"/>
        <v>756</v>
      </c>
      <c r="AF9" s="167">
        <f t="shared" si="20"/>
        <v>756</v>
      </c>
      <c r="AG9" s="167">
        <f t="shared" si="21"/>
        <v>756</v>
      </c>
      <c r="AH9" s="167">
        <f t="shared" si="22"/>
        <v>756</v>
      </c>
      <c r="AI9" s="167">
        <f t="shared" si="23"/>
        <v>756</v>
      </c>
      <c r="AJ9" s="167">
        <f t="shared" si="24"/>
        <v>756</v>
      </c>
      <c r="AK9" s="167">
        <f t="shared" si="25"/>
        <v>756</v>
      </c>
      <c r="AL9" s="167">
        <f t="shared" si="26"/>
        <v>756</v>
      </c>
      <c r="AM9" s="167">
        <f t="shared" si="27"/>
        <v>756</v>
      </c>
      <c r="AN9" s="167">
        <f t="shared" si="28"/>
        <v>756</v>
      </c>
      <c r="AO9" s="305">
        <f t="shared" si="1"/>
        <v>9072</v>
      </c>
      <c r="AP9" s="167">
        <f>AN9*1.04</f>
        <v>786.24</v>
      </c>
      <c r="AQ9" s="167">
        <f t="shared" si="29"/>
        <v>786.24</v>
      </c>
      <c r="AR9" s="167">
        <f t="shared" si="30"/>
        <v>786.24</v>
      </c>
      <c r="AS9" s="167">
        <f t="shared" si="31"/>
        <v>786.24</v>
      </c>
      <c r="AT9" s="167">
        <f t="shared" si="32"/>
        <v>786.24</v>
      </c>
      <c r="AU9" s="167">
        <f t="shared" si="33"/>
        <v>786.24</v>
      </c>
      <c r="AV9" s="167">
        <f t="shared" si="34"/>
        <v>786.24</v>
      </c>
      <c r="AW9" s="167">
        <f t="shared" si="35"/>
        <v>786.24</v>
      </c>
      <c r="AX9" s="167">
        <f t="shared" si="36"/>
        <v>786.24</v>
      </c>
      <c r="AY9" s="167">
        <f t="shared" si="37"/>
        <v>786.24</v>
      </c>
      <c r="AZ9" s="167">
        <f t="shared" si="38"/>
        <v>786.24</v>
      </c>
      <c r="BA9" s="167">
        <f t="shared" si="39"/>
        <v>786.24</v>
      </c>
      <c r="BB9" s="305">
        <f t="shared" si="2"/>
        <v>9434.8799999999992</v>
      </c>
      <c r="BC9" s="167">
        <f t="shared" si="62"/>
        <v>825.55200000000002</v>
      </c>
      <c r="BD9" s="167">
        <f>BC9+50</f>
        <v>875.55200000000002</v>
      </c>
      <c r="BE9" s="167">
        <f t="shared" si="41"/>
        <v>875.55200000000002</v>
      </c>
      <c r="BF9" s="167">
        <f t="shared" si="42"/>
        <v>875.55200000000002</v>
      </c>
      <c r="BG9" s="167">
        <f t="shared" si="43"/>
        <v>875.55200000000002</v>
      </c>
      <c r="BH9" s="167">
        <f t="shared" si="44"/>
        <v>875.55200000000002</v>
      </c>
      <c r="BI9" s="167">
        <f t="shared" si="45"/>
        <v>875.55200000000002</v>
      </c>
      <c r="BJ9" s="167">
        <f t="shared" si="46"/>
        <v>875.55200000000002</v>
      </c>
      <c r="BK9" s="167">
        <f t="shared" si="47"/>
        <v>875.55200000000002</v>
      </c>
      <c r="BL9" s="167">
        <f t="shared" si="48"/>
        <v>875.55200000000002</v>
      </c>
      <c r="BM9" s="167">
        <f t="shared" si="49"/>
        <v>875.55200000000002</v>
      </c>
      <c r="BN9" s="167">
        <f t="shared" si="50"/>
        <v>875.55200000000002</v>
      </c>
      <c r="BO9" s="305">
        <f t="shared" si="3"/>
        <v>10456.623999999998</v>
      </c>
      <c r="BP9" s="167">
        <f>BN9*1.08</f>
        <v>945.59616000000005</v>
      </c>
      <c r="BQ9" s="167">
        <f t="shared" si="51"/>
        <v>945.59616000000005</v>
      </c>
      <c r="BR9" s="167">
        <f t="shared" si="52"/>
        <v>945.59616000000005</v>
      </c>
      <c r="BS9" s="167">
        <f t="shared" si="53"/>
        <v>945.59616000000005</v>
      </c>
      <c r="BT9" s="167">
        <f t="shared" si="54"/>
        <v>945.59616000000005</v>
      </c>
      <c r="BU9" s="167">
        <f t="shared" si="55"/>
        <v>945.59616000000005</v>
      </c>
      <c r="BV9" s="167">
        <f t="shared" si="56"/>
        <v>945.59616000000005</v>
      </c>
      <c r="BW9" s="167">
        <f t="shared" si="57"/>
        <v>945.59616000000005</v>
      </c>
      <c r="BX9" s="167">
        <f t="shared" si="58"/>
        <v>945.59616000000005</v>
      </c>
      <c r="BY9" s="167">
        <f t="shared" si="59"/>
        <v>945.59616000000005</v>
      </c>
      <c r="BZ9" s="167">
        <f t="shared" si="60"/>
        <v>945.59616000000005</v>
      </c>
      <c r="CA9" s="167">
        <f t="shared" si="61"/>
        <v>945.59616000000005</v>
      </c>
      <c r="CB9" s="160">
        <f t="shared" si="4"/>
        <v>11347.153920000004</v>
      </c>
      <c r="CC9" s="167"/>
      <c r="CD9" s="167"/>
      <c r="CE9" s="167"/>
      <c r="CF9" s="167"/>
      <c r="CG9" s="167"/>
      <c r="CH9" s="167"/>
      <c r="CI9" s="167"/>
      <c r="CJ9" s="167"/>
      <c r="CK9" s="167"/>
      <c r="CL9" s="167"/>
      <c r="CM9" s="167"/>
      <c r="CN9" s="167"/>
      <c r="CO9" s="160">
        <f t="shared" si="16"/>
        <v>0</v>
      </c>
      <c r="CP9" s="185"/>
      <c r="CQ9" s="185"/>
      <c r="CR9" s="185"/>
      <c r="CS9" s="185"/>
      <c r="CT9" s="185"/>
      <c r="CU9" s="185"/>
      <c r="CV9" s="185"/>
      <c r="CW9" s="185"/>
      <c r="CX9" s="185"/>
      <c r="CY9" s="185"/>
      <c r="CZ9" s="185"/>
      <c r="DA9" s="185"/>
      <c r="DB9" s="185"/>
      <c r="DC9" s="185"/>
      <c r="DD9" s="185"/>
      <c r="DE9" s="185"/>
      <c r="DF9" s="185"/>
      <c r="DG9" s="185"/>
      <c r="DH9" s="185"/>
      <c r="DI9" s="185"/>
      <c r="DJ9" s="185"/>
      <c r="DK9" s="185"/>
      <c r="DL9" s="185"/>
      <c r="DM9" s="185"/>
      <c r="DN9" s="185"/>
      <c r="DO9" s="185"/>
      <c r="DP9" s="185"/>
      <c r="DQ9" s="185"/>
      <c r="DR9" s="185"/>
      <c r="DS9" s="185"/>
      <c r="DT9" s="185"/>
      <c r="DU9" s="185"/>
      <c r="DV9" s="185"/>
      <c r="DW9" s="185"/>
      <c r="DX9" s="185"/>
      <c r="DY9" s="185"/>
      <c r="DZ9" s="185"/>
      <c r="EA9" s="185"/>
      <c r="EB9" s="185"/>
      <c r="EC9" s="185"/>
      <c r="ED9" s="185"/>
      <c r="EE9" s="185"/>
      <c r="EF9" s="185"/>
      <c r="EG9" s="185"/>
      <c r="EH9" s="185"/>
      <c r="EI9" s="185"/>
      <c r="EJ9" s="185"/>
      <c r="EK9" s="185"/>
      <c r="EL9" s="185"/>
      <c r="EM9" s="185"/>
      <c r="EN9" s="185"/>
      <c r="EO9" s="185"/>
      <c r="EP9" s="185"/>
      <c r="EQ9" s="185"/>
      <c r="ER9" s="185"/>
      <c r="ES9" s="185"/>
      <c r="ET9" s="185"/>
      <c r="EU9" s="185"/>
      <c r="EV9" s="185"/>
      <c r="EW9" s="185"/>
      <c r="EX9" s="185"/>
      <c r="EY9" s="185"/>
      <c r="EZ9" s="185"/>
      <c r="FA9" s="185"/>
      <c r="FB9" s="185"/>
      <c r="FC9" s="185"/>
      <c r="FD9" s="185"/>
    </row>
    <row r="10" spans="1:160" ht="14">
      <c r="A10" s="150"/>
      <c r="B10" s="151">
        <v>12000</v>
      </c>
      <c r="C10" s="151">
        <v>12000</v>
      </c>
      <c r="D10" s="151">
        <v>12000</v>
      </c>
      <c r="E10" s="151">
        <v>12000</v>
      </c>
      <c r="F10" s="151">
        <v>12000</v>
      </c>
      <c r="G10" s="151">
        <v>12000</v>
      </c>
      <c r="H10" s="151">
        <v>12000</v>
      </c>
      <c r="I10" s="151">
        <v>12000</v>
      </c>
      <c r="J10" s="151">
        <v>12000</v>
      </c>
      <c r="K10" s="151">
        <v>12000</v>
      </c>
      <c r="L10" s="151">
        <v>12000</v>
      </c>
      <c r="M10" s="151">
        <v>12000</v>
      </c>
      <c r="N10" s="152"/>
      <c r="O10" s="150" t="s">
        <v>268</v>
      </c>
      <c r="P10" s="151">
        <v>1000</v>
      </c>
      <c r="Q10" s="151">
        <v>1000</v>
      </c>
      <c r="R10" s="151">
        <v>1000</v>
      </c>
      <c r="S10" s="151">
        <v>1000</v>
      </c>
      <c r="T10" s="151">
        <v>1000</v>
      </c>
      <c r="U10" s="151">
        <v>1000</v>
      </c>
      <c r="V10" s="151">
        <v>1000</v>
      </c>
      <c r="W10" s="151">
        <v>1000</v>
      </c>
      <c r="X10" s="151">
        <v>1000</v>
      </c>
      <c r="Y10" s="151">
        <v>1000</v>
      </c>
      <c r="Z10" s="151">
        <v>1000</v>
      </c>
      <c r="AA10" s="151">
        <v>1000</v>
      </c>
      <c r="AB10" s="164">
        <f t="shared" si="0"/>
        <v>12000</v>
      </c>
      <c r="AC10" s="151">
        <v>2000</v>
      </c>
      <c r="AD10" s="151">
        <v>2000</v>
      </c>
      <c r="AE10" s="151">
        <v>2200</v>
      </c>
      <c r="AF10" s="151">
        <v>2200</v>
      </c>
      <c r="AG10" s="151">
        <v>2200</v>
      </c>
      <c r="AH10" s="151">
        <v>2200</v>
      </c>
      <c r="AI10" s="151">
        <v>2200</v>
      </c>
      <c r="AJ10" s="151">
        <v>2200</v>
      </c>
      <c r="AK10" s="151">
        <v>2200</v>
      </c>
      <c r="AL10" s="151">
        <v>2200</v>
      </c>
      <c r="AM10" s="151">
        <v>2200</v>
      </c>
      <c r="AN10" s="151">
        <v>2200</v>
      </c>
      <c r="AO10" s="164">
        <f t="shared" si="1"/>
        <v>26000</v>
      </c>
      <c r="AP10" s="151">
        <v>750</v>
      </c>
      <c r="AQ10" s="151">
        <v>750</v>
      </c>
      <c r="AR10" s="151">
        <v>750</v>
      </c>
      <c r="AS10" s="151">
        <v>750</v>
      </c>
      <c r="AT10" s="151">
        <v>750</v>
      </c>
      <c r="AU10" s="151">
        <v>750</v>
      </c>
      <c r="AV10" s="151">
        <v>750</v>
      </c>
      <c r="AW10" s="151">
        <v>750</v>
      </c>
      <c r="AX10" s="151">
        <v>750</v>
      </c>
      <c r="AY10" s="151">
        <v>750</v>
      </c>
      <c r="AZ10" s="151">
        <v>750</v>
      </c>
      <c r="BA10" s="151">
        <v>750</v>
      </c>
      <c r="BB10" s="164">
        <f t="shared" si="2"/>
        <v>9000</v>
      </c>
      <c r="BC10" s="151">
        <v>750</v>
      </c>
      <c r="BD10" s="151">
        <f t="shared" ref="BD10:BD12" si="63">BC10</f>
        <v>750</v>
      </c>
      <c r="BE10" s="151">
        <f t="shared" si="41"/>
        <v>750</v>
      </c>
      <c r="BF10" s="151">
        <f t="shared" si="42"/>
        <v>750</v>
      </c>
      <c r="BG10" s="151">
        <f t="shared" si="43"/>
        <v>750</v>
      </c>
      <c r="BH10" s="151">
        <f t="shared" si="44"/>
        <v>750</v>
      </c>
      <c r="BI10" s="151">
        <f t="shared" si="45"/>
        <v>750</v>
      </c>
      <c r="BJ10" s="151">
        <f t="shared" si="46"/>
        <v>750</v>
      </c>
      <c r="BK10" s="151">
        <f t="shared" si="47"/>
        <v>750</v>
      </c>
      <c r="BL10" s="151">
        <f t="shared" si="48"/>
        <v>750</v>
      </c>
      <c r="BM10" s="151">
        <f t="shared" si="49"/>
        <v>750</v>
      </c>
      <c r="BN10" s="151">
        <f t="shared" si="50"/>
        <v>750</v>
      </c>
      <c r="BO10" s="164">
        <f t="shared" si="3"/>
        <v>9000</v>
      </c>
      <c r="BP10" s="151">
        <f>BC10*1.08</f>
        <v>810</v>
      </c>
      <c r="BQ10" s="151">
        <f t="shared" si="51"/>
        <v>810</v>
      </c>
      <c r="BR10" s="151">
        <f t="shared" si="52"/>
        <v>810</v>
      </c>
      <c r="BS10" s="151">
        <f t="shared" si="53"/>
        <v>810</v>
      </c>
      <c r="BT10" s="151">
        <f t="shared" si="54"/>
        <v>810</v>
      </c>
      <c r="BU10" s="151">
        <f t="shared" si="55"/>
        <v>810</v>
      </c>
      <c r="BV10" s="151">
        <f t="shared" si="56"/>
        <v>810</v>
      </c>
      <c r="BW10" s="151">
        <f t="shared" si="57"/>
        <v>810</v>
      </c>
      <c r="BX10" s="151">
        <f t="shared" si="58"/>
        <v>810</v>
      </c>
      <c r="BY10" s="151">
        <f t="shared" si="59"/>
        <v>810</v>
      </c>
      <c r="BZ10" s="151">
        <f t="shared" si="60"/>
        <v>810</v>
      </c>
      <c r="CA10" s="151">
        <f t="shared" si="61"/>
        <v>810</v>
      </c>
      <c r="CB10" s="151">
        <f>CA10</f>
        <v>810</v>
      </c>
      <c r="CC10" s="151"/>
      <c r="CD10" s="151"/>
      <c r="CE10" s="151"/>
      <c r="CF10" s="151"/>
      <c r="CG10" s="151"/>
      <c r="CH10" s="151"/>
      <c r="CI10" s="151"/>
      <c r="CJ10" s="151"/>
      <c r="CK10" s="151"/>
      <c r="CL10" s="151"/>
      <c r="CM10" s="151"/>
      <c r="CN10" s="151"/>
      <c r="CO10" s="164">
        <f t="shared" si="16"/>
        <v>0</v>
      </c>
      <c r="CP10" s="185"/>
      <c r="CQ10" s="185"/>
      <c r="CR10" s="185"/>
      <c r="CS10" s="185"/>
      <c r="CT10" s="185"/>
      <c r="CU10" s="185"/>
      <c r="CV10" s="185"/>
      <c r="CW10" s="185"/>
      <c r="CX10" s="185"/>
      <c r="CY10" s="185"/>
      <c r="CZ10" s="185"/>
      <c r="DA10" s="185"/>
      <c r="DB10" s="185"/>
      <c r="DC10" s="185"/>
      <c r="DD10" s="185"/>
      <c r="DE10" s="185"/>
      <c r="DF10" s="185"/>
      <c r="DG10" s="185"/>
      <c r="DH10" s="185"/>
      <c r="DI10" s="185"/>
      <c r="DJ10" s="185"/>
      <c r="DK10" s="185"/>
      <c r="DL10" s="185"/>
      <c r="DM10" s="185"/>
      <c r="DN10" s="185"/>
      <c r="DO10" s="185"/>
      <c r="DP10" s="185"/>
      <c r="DQ10" s="185"/>
      <c r="DR10" s="185"/>
      <c r="DS10" s="185"/>
      <c r="DT10" s="185"/>
      <c r="DU10" s="185"/>
      <c r="DV10" s="185"/>
      <c r="DW10" s="185"/>
      <c r="DX10" s="185"/>
      <c r="DY10" s="185"/>
      <c r="DZ10" s="185"/>
      <c r="EA10" s="185"/>
      <c r="EB10" s="185"/>
      <c r="EC10" s="185"/>
      <c r="ED10" s="185"/>
      <c r="EE10" s="185"/>
      <c r="EF10" s="185"/>
      <c r="EG10" s="185"/>
      <c r="EH10" s="185"/>
      <c r="EI10" s="185"/>
      <c r="EJ10" s="185"/>
      <c r="EK10" s="185"/>
      <c r="EL10" s="185"/>
      <c r="EM10" s="185"/>
      <c r="EN10" s="185"/>
      <c r="EO10" s="185"/>
      <c r="EP10" s="185"/>
      <c r="EQ10" s="185"/>
      <c r="ER10" s="185"/>
      <c r="ES10" s="185"/>
      <c r="ET10" s="185"/>
      <c r="EU10" s="185"/>
      <c r="EV10" s="185"/>
      <c r="EW10" s="185"/>
      <c r="EX10" s="185"/>
      <c r="EY10" s="185"/>
      <c r="EZ10" s="185"/>
      <c r="FA10" s="185"/>
      <c r="FB10" s="185"/>
      <c r="FC10" s="185"/>
      <c r="FD10" s="185"/>
    </row>
    <row r="11" spans="1:160" ht="14">
      <c r="A11" s="296"/>
      <c r="B11" s="167"/>
      <c r="C11" s="167"/>
      <c r="D11" s="167"/>
      <c r="E11" s="167"/>
      <c r="F11" s="167"/>
      <c r="G11" s="167"/>
      <c r="H11" s="167"/>
      <c r="I11" s="167"/>
      <c r="J11" s="167"/>
      <c r="K11" s="167"/>
      <c r="L11" s="167"/>
      <c r="M11" s="167"/>
      <c r="N11" s="168"/>
      <c r="O11" s="296" t="s">
        <v>269</v>
      </c>
      <c r="P11" s="167"/>
      <c r="Q11" s="167"/>
      <c r="R11" s="167"/>
      <c r="S11" s="167">
        <v>1200</v>
      </c>
      <c r="T11" s="167">
        <v>1200</v>
      </c>
      <c r="U11" s="167">
        <v>1200</v>
      </c>
      <c r="V11" s="167">
        <v>1200</v>
      </c>
      <c r="W11" s="167">
        <v>1200</v>
      </c>
      <c r="X11" s="167">
        <v>1200</v>
      </c>
      <c r="Y11" s="167">
        <v>1200</v>
      </c>
      <c r="Z11" s="167">
        <v>1200</v>
      </c>
      <c r="AA11" s="167">
        <v>1200</v>
      </c>
      <c r="AB11" s="305">
        <f t="shared" si="0"/>
        <v>10800</v>
      </c>
      <c r="AC11" s="167">
        <v>1296</v>
      </c>
      <c r="AD11" s="167">
        <v>1296</v>
      </c>
      <c r="AE11" s="167">
        <v>1296</v>
      </c>
      <c r="AF11" s="167">
        <f t="shared" ref="AF11:AF13" si="64">S11*1.08</f>
        <v>1296</v>
      </c>
      <c r="AG11" s="167">
        <f t="shared" ref="AG11:AG13" si="65">T11*1.08</f>
        <v>1296</v>
      </c>
      <c r="AH11" s="167">
        <f t="shared" ref="AH11:AH12" si="66">U11*1.08</f>
        <v>1296</v>
      </c>
      <c r="AI11" s="167">
        <f t="shared" ref="AI11:AI12" si="67">V11*1.08</f>
        <v>1296</v>
      </c>
      <c r="AJ11" s="167">
        <f t="shared" ref="AJ11:AJ12" si="68">W11*1.08</f>
        <v>1296</v>
      </c>
      <c r="AK11" s="167">
        <f t="shared" ref="AK11:AK13" si="69">X11*1.08</f>
        <v>1296</v>
      </c>
      <c r="AL11" s="167">
        <f t="shared" ref="AL11:AL13" si="70">Y11*1.08</f>
        <v>1296</v>
      </c>
      <c r="AM11" s="167">
        <f t="shared" ref="AM11:AM13" si="71">Z11*1.08</f>
        <v>1296</v>
      </c>
      <c r="AN11" s="167">
        <f t="shared" ref="AN11:AN13" si="72">AA11*1.08</f>
        <v>1296</v>
      </c>
      <c r="AO11" s="305">
        <f t="shared" si="1"/>
        <v>15552</v>
      </c>
      <c r="AP11" s="167">
        <v>1296</v>
      </c>
      <c r="AQ11" s="167">
        <v>1296</v>
      </c>
      <c r="AR11" s="167">
        <v>1296</v>
      </c>
      <c r="AS11" s="167">
        <v>1296</v>
      </c>
      <c r="AT11" s="167">
        <v>1296</v>
      </c>
      <c r="AU11" s="167">
        <v>1296</v>
      </c>
      <c r="AV11" s="167">
        <v>1296</v>
      </c>
      <c r="AW11" s="167">
        <v>1296</v>
      </c>
      <c r="AX11" s="167">
        <v>1296</v>
      </c>
      <c r="AY11" s="167">
        <v>1296</v>
      </c>
      <c r="AZ11" s="167">
        <v>1296</v>
      </c>
      <c r="BA11" s="167">
        <v>1296</v>
      </c>
      <c r="BB11" s="305">
        <f t="shared" si="2"/>
        <v>15552</v>
      </c>
      <c r="BC11" s="167">
        <v>1296</v>
      </c>
      <c r="BD11" s="167">
        <f t="shared" si="63"/>
        <v>1296</v>
      </c>
      <c r="BE11" s="167">
        <f t="shared" si="41"/>
        <v>1296</v>
      </c>
      <c r="BF11" s="167">
        <f t="shared" si="42"/>
        <v>1296</v>
      </c>
      <c r="BG11" s="167">
        <f t="shared" si="43"/>
        <v>1296</v>
      </c>
      <c r="BH11" s="167">
        <f t="shared" si="44"/>
        <v>1296</v>
      </c>
      <c r="BI11" s="167">
        <f t="shared" si="45"/>
        <v>1296</v>
      </c>
      <c r="BJ11" s="167">
        <f t="shared" si="46"/>
        <v>1296</v>
      </c>
      <c r="BK11" s="167">
        <f t="shared" si="47"/>
        <v>1296</v>
      </c>
      <c r="BL11" s="167">
        <f t="shared" si="48"/>
        <v>1296</v>
      </c>
      <c r="BM11" s="167">
        <f t="shared" si="49"/>
        <v>1296</v>
      </c>
      <c r="BN11" s="167">
        <f t="shared" si="50"/>
        <v>1296</v>
      </c>
      <c r="BO11" s="305">
        <f t="shared" si="3"/>
        <v>15552</v>
      </c>
      <c r="BP11" s="167">
        <f>BN11*1.08</f>
        <v>1399.68</v>
      </c>
      <c r="BQ11" s="167">
        <f t="shared" si="51"/>
        <v>1399.68</v>
      </c>
      <c r="BR11" s="167">
        <f t="shared" si="52"/>
        <v>1399.68</v>
      </c>
      <c r="BS11" s="167">
        <f t="shared" si="53"/>
        <v>1399.68</v>
      </c>
      <c r="BT11" s="167">
        <f t="shared" si="54"/>
        <v>1399.68</v>
      </c>
      <c r="BU11" s="167">
        <f t="shared" si="55"/>
        <v>1399.68</v>
      </c>
      <c r="BV11" s="167">
        <f t="shared" si="56"/>
        <v>1399.68</v>
      </c>
      <c r="BW11" s="167">
        <f t="shared" si="57"/>
        <v>1399.68</v>
      </c>
      <c r="BX11" s="167">
        <f t="shared" si="58"/>
        <v>1399.68</v>
      </c>
      <c r="BY11" s="167">
        <f t="shared" si="59"/>
        <v>1399.68</v>
      </c>
      <c r="BZ11" s="167">
        <f t="shared" si="60"/>
        <v>1399.68</v>
      </c>
      <c r="CA11" s="167">
        <f t="shared" si="61"/>
        <v>1399.68</v>
      </c>
      <c r="CB11" s="160">
        <f>SUM(BP11:CA11)</f>
        <v>16796.16</v>
      </c>
      <c r="CC11" s="167"/>
      <c r="CD11" s="167"/>
      <c r="CE11" s="167"/>
      <c r="CF11" s="167"/>
      <c r="CG11" s="167"/>
      <c r="CH11" s="167"/>
      <c r="CI11" s="167"/>
      <c r="CJ11" s="167"/>
      <c r="CK11" s="167"/>
      <c r="CL11" s="167"/>
      <c r="CM11" s="167"/>
      <c r="CN11" s="167"/>
      <c r="CO11" s="160">
        <f t="shared" si="16"/>
        <v>0</v>
      </c>
      <c r="CP11" s="185"/>
      <c r="CQ11" s="185"/>
      <c r="CR11" s="185"/>
      <c r="CS11" s="185"/>
      <c r="CT11" s="185"/>
      <c r="CU11" s="185"/>
      <c r="CV11" s="185"/>
      <c r="CW11" s="185"/>
      <c r="CX11" s="185"/>
      <c r="CY11" s="185"/>
      <c r="CZ11" s="185"/>
      <c r="DA11" s="185"/>
      <c r="DB11" s="185"/>
      <c r="DC11" s="185"/>
      <c r="DD11" s="185"/>
      <c r="DE11" s="185"/>
      <c r="DF11" s="185"/>
      <c r="DG11" s="185"/>
      <c r="DH11" s="185"/>
      <c r="DI11" s="185"/>
      <c r="DJ11" s="185"/>
      <c r="DK11" s="185"/>
      <c r="DL11" s="185"/>
      <c r="DM11" s="185"/>
      <c r="DN11" s="185"/>
      <c r="DO11" s="185"/>
      <c r="DP11" s="185"/>
      <c r="DQ11" s="185"/>
      <c r="DR11" s="185"/>
      <c r="DS11" s="185"/>
      <c r="DT11" s="185"/>
      <c r="DU11" s="185"/>
      <c r="DV11" s="185"/>
      <c r="DW11" s="185"/>
      <c r="DX11" s="185"/>
      <c r="DY11" s="185"/>
      <c r="DZ11" s="185"/>
      <c r="EA11" s="185"/>
      <c r="EB11" s="185"/>
      <c r="EC11" s="185"/>
      <c r="ED11" s="185"/>
      <c r="EE11" s="185"/>
      <c r="EF11" s="185"/>
      <c r="EG11" s="185"/>
      <c r="EH11" s="185"/>
      <c r="EI11" s="185"/>
      <c r="EJ11" s="185"/>
      <c r="EK11" s="185"/>
      <c r="EL11" s="185"/>
      <c r="EM11" s="185"/>
      <c r="EN11" s="185"/>
      <c r="EO11" s="185"/>
      <c r="EP11" s="185"/>
      <c r="EQ11" s="185"/>
      <c r="ER11" s="185"/>
      <c r="ES11" s="185"/>
      <c r="ET11" s="185"/>
      <c r="EU11" s="185"/>
      <c r="EV11" s="185"/>
      <c r="EW11" s="185"/>
      <c r="EX11" s="185"/>
      <c r="EY11" s="185"/>
      <c r="EZ11" s="185"/>
      <c r="FA11" s="185"/>
      <c r="FB11" s="185"/>
      <c r="FC11" s="185"/>
      <c r="FD11" s="185"/>
    </row>
    <row r="12" spans="1:160" ht="14">
      <c r="A12" s="150"/>
      <c r="B12" s="151">
        <v>8000</v>
      </c>
      <c r="C12" s="151">
        <v>8000</v>
      </c>
      <c r="D12" s="151">
        <v>8000</v>
      </c>
      <c r="E12" s="151">
        <v>8000</v>
      </c>
      <c r="F12" s="151">
        <v>8000</v>
      </c>
      <c r="G12" s="151">
        <v>8000</v>
      </c>
      <c r="H12" s="151">
        <v>8000</v>
      </c>
      <c r="I12" s="151">
        <v>8000</v>
      </c>
      <c r="J12" s="151">
        <v>8000</v>
      </c>
      <c r="K12" s="151">
        <v>8000</v>
      </c>
      <c r="L12" s="151">
        <v>8000</v>
      </c>
      <c r="M12" s="151">
        <v>8000</v>
      </c>
      <c r="N12" s="152"/>
      <c r="O12" s="150" t="s">
        <v>270</v>
      </c>
      <c r="P12" s="151"/>
      <c r="Q12" s="151"/>
      <c r="R12" s="151">
        <v>65000</v>
      </c>
      <c r="S12" s="151"/>
      <c r="T12" s="151"/>
      <c r="U12" s="151"/>
      <c r="V12" s="151"/>
      <c r="W12" s="151"/>
      <c r="X12" s="151"/>
      <c r="Y12" s="151"/>
      <c r="Z12" s="151"/>
      <c r="AA12" s="151"/>
      <c r="AB12" s="164">
        <f t="shared" si="0"/>
        <v>65000</v>
      </c>
      <c r="AC12" s="151">
        <f t="shared" ref="AC12:AC13" si="73">P12*1.08</f>
        <v>0</v>
      </c>
      <c r="AD12" s="151">
        <f>Q12*1.08</f>
        <v>0</v>
      </c>
      <c r="AE12" s="151">
        <f>R12*1.08</f>
        <v>70200</v>
      </c>
      <c r="AF12" s="151">
        <f t="shared" si="64"/>
        <v>0</v>
      </c>
      <c r="AG12" s="151">
        <f t="shared" si="65"/>
        <v>0</v>
      </c>
      <c r="AH12" s="151">
        <f t="shared" si="66"/>
        <v>0</v>
      </c>
      <c r="AI12" s="151">
        <f t="shared" si="67"/>
        <v>0</v>
      </c>
      <c r="AJ12" s="151">
        <f t="shared" si="68"/>
        <v>0</v>
      </c>
      <c r="AK12" s="151">
        <f t="shared" si="69"/>
        <v>0</v>
      </c>
      <c r="AL12" s="151">
        <f t="shared" si="70"/>
        <v>0</v>
      </c>
      <c r="AM12" s="151">
        <f t="shared" si="71"/>
        <v>0</v>
      </c>
      <c r="AN12" s="151">
        <f t="shared" si="72"/>
        <v>0</v>
      </c>
      <c r="AO12" s="164">
        <f t="shared" si="1"/>
        <v>70200</v>
      </c>
      <c r="AP12" s="151">
        <v>1500</v>
      </c>
      <c r="AQ12" s="151">
        <v>1500</v>
      </c>
      <c r="AR12" s="151">
        <v>1500</v>
      </c>
      <c r="AS12" s="151">
        <v>1500</v>
      </c>
      <c r="AT12" s="151">
        <v>1500</v>
      </c>
      <c r="AU12" s="151">
        <v>1500</v>
      </c>
      <c r="AV12" s="151">
        <v>1500</v>
      </c>
      <c r="AW12" s="151">
        <v>1500</v>
      </c>
      <c r="AX12" s="151">
        <v>1500</v>
      </c>
      <c r="AY12" s="151">
        <v>1500</v>
      </c>
      <c r="AZ12" s="151">
        <v>1500</v>
      </c>
      <c r="BA12" s="151">
        <v>1500</v>
      </c>
      <c r="BB12" s="164">
        <f t="shared" si="2"/>
        <v>18000</v>
      </c>
      <c r="BC12" s="151">
        <v>1500</v>
      </c>
      <c r="BD12" s="151">
        <f t="shared" si="63"/>
        <v>1500</v>
      </c>
      <c r="BE12" s="151">
        <f t="shared" si="41"/>
        <v>1500</v>
      </c>
      <c r="BF12" s="151">
        <f t="shared" si="42"/>
        <v>1500</v>
      </c>
      <c r="BG12" s="151">
        <f t="shared" si="43"/>
        <v>1500</v>
      </c>
      <c r="BH12" s="151">
        <f t="shared" si="44"/>
        <v>1500</v>
      </c>
      <c r="BI12" s="151">
        <f t="shared" si="45"/>
        <v>1500</v>
      </c>
      <c r="BJ12" s="151">
        <f t="shared" si="46"/>
        <v>1500</v>
      </c>
      <c r="BK12" s="151">
        <f t="shared" si="47"/>
        <v>1500</v>
      </c>
      <c r="BL12" s="151">
        <f t="shared" si="48"/>
        <v>1500</v>
      </c>
      <c r="BM12" s="151">
        <f t="shared" si="49"/>
        <v>1500</v>
      </c>
      <c r="BN12" s="151">
        <f t="shared" si="50"/>
        <v>1500</v>
      </c>
      <c r="BO12" s="164">
        <f t="shared" si="3"/>
        <v>18000</v>
      </c>
      <c r="BP12" s="151">
        <f>BC12*1.08</f>
        <v>1620</v>
      </c>
      <c r="BQ12" s="151">
        <f t="shared" si="51"/>
        <v>1620</v>
      </c>
      <c r="BR12" s="151">
        <f t="shared" si="52"/>
        <v>1620</v>
      </c>
      <c r="BS12" s="151">
        <f t="shared" si="53"/>
        <v>1620</v>
      </c>
      <c r="BT12" s="151">
        <f t="shared" si="54"/>
        <v>1620</v>
      </c>
      <c r="BU12" s="151">
        <f t="shared" si="55"/>
        <v>1620</v>
      </c>
      <c r="BV12" s="151">
        <f t="shared" si="56"/>
        <v>1620</v>
      </c>
      <c r="BW12" s="151">
        <f t="shared" si="57"/>
        <v>1620</v>
      </c>
      <c r="BX12" s="151">
        <f t="shared" si="58"/>
        <v>1620</v>
      </c>
      <c r="BY12" s="151">
        <f t="shared" si="59"/>
        <v>1620</v>
      </c>
      <c r="BZ12" s="151">
        <f t="shared" si="60"/>
        <v>1620</v>
      </c>
      <c r="CA12" s="151">
        <f t="shared" si="61"/>
        <v>1620</v>
      </c>
      <c r="CB12" s="151">
        <f>CA12</f>
        <v>1620</v>
      </c>
      <c r="CC12" s="151"/>
      <c r="CD12" s="151"/>
      <c r="CE12" s="151"/>
      <c r="CF12" s="151"/>
      <c r="CG12" s="151"/>
      <c r="CH12" s="151"/>
      <c r="CI12" s="151"/>
      <c r="CJ12" s="151"/>
      <c r="CK12" s="151"/>
      <c r="CL12" s="151"/>
      <c r="CM12" s="151"/>
      <c r="CN12" s="151"/>
      <c r="CO12" s="164">
        <f t="shared" si="16"/>
        <v>0</v>
      </c>
      <c r="CP12" s="185"/>
      <c r="CQ12" s="185"/>
      <c r="CR12" s="185"/>
      <c r="CS12" s="185"/>
      <c r="CT12" s="185"/>
      <c r="CU12" s="185"/>
      <c r="CV12" s="185"/>
      <c r="CW12" s="185"/>
      <c r="CX12" s="185"/>
      <c r="CY12" s="185"/>
      <c r="CZ12" s="185"/>
      <c r="DA12" s="185"/>
      <c r="DB12" s="185"/>
      <c r="DC12" s="185"/>
      <c r="DD12" s="185"/>
      <c r="DE12" s="185"/>
      <c r="DF12" s="185"/>
      <c r="DG12" s="185"/>
      <c r="DH12" s="185"/>
      <c r="DI12" s="185"/>
      <c r="DJ12" s="185"/>
      <c r="DK12" s="185"/>
      <c r="DL12" s="185"/>
      <c r="DM12" s="185"/>
      <c r="DN12" s="185"/>
      <c r="DO12" s="185"/>
      <c r="DP12" s="185"/>
      <c r="DQ12" s="185"/>
      <c r="DR12" s="185"/>
      <c r="DS12" s="185"/>
      <c r="DT12" s="185"/>
      <c r="DU12" s="185"/>
      <c r="DV12" s="185"/>
      <c r="DW12" s="185"/>
      <c r="DX12" s="185"/>
      <c r="DY12" s="185"/>
      <c r="DZ12" s="185"/>
      <c r="EA12" s="185"/>
      <c r="EB12" s="185"/>
      <c r="EC12" s="185"/>
      <c r="ED12" s="185"/>
      <c r="EE12" s="185"/>
      <c r="EF12" s="185"/>
      <c r="EG12" s="185"/>
      <c r="EH12" s="185"/>
      <c r="EI12" s="185"/>
      <c r="EJ12" s="185"/>
      <c r="EK12" s="185"/>
      <c r="EL12" s="185"/>
      <c r="EM12" s="185"/>
      <c r="EN12" s="185"/>
      <c r="EO12" s="185"/>
      <c r="EP12" s="185"/>
      <c r="EQ12" s="185"/>
      <c r="ER12" s="185"/>
      <c r="ES12" s="185"/>
      <c r="ET12" s="185"/>
      <c r="EU12" s="185"/>
      <c r="EV12" s="185"/>
      <c r="EW12" s="185"/>
      <c r="EX12" s="185"/>
      <c r="EY12" s="185"/>
      <c r="EZ12" s="185"/>
      <c r="FA12" s="185"/>
      <c r="FB12" s="185"/>
      <c r="FC12" s="185"/>
      <c r="FD12" s="185"/>
    </row>
    <row r="13" spans="1:160" ht="14">
      <c r="A13" s="296" t="s">
        <v>271</v>
      </c>
      <c r="B13" s="167"/>
      <c r="C13" s="167"/>
      <c r="D13" s="167"/>
      <c r="E13" s="167"/>
      <c r="F13" s="167"/>
      <c r="G13" s="167"/>
      <c r="H13" s="167"/>
      <c r="I13" s="167"/>
      <c r="J13" s="167"/>
      <c r="K13" s="167"/>
      <c r="L13" s="167"/>
      <c r="M13" s="167"/>
      <c r="N13" s="168"/>
      <c r="O13" s="296" t="s">
        <v>272</v>
      </c>
      <c r="P13" s="167">
        <v>0</v>
      </c>
      <c r="Q13" s="167">
        <v>0</v>
      </c>
      <c r="R13" s="167">
        <v>0</v>
      </c>
      <c r="S13" s="167">
        <v>0</v>
      </c>
      <c r="T13" s="167">
        <v>16000</v>
      </c>
      <c r="U13" s="167">
        <v>0</v>
      </c>
      <c r="V13" s="167">
        <v>0</v>
      </c>
      <c r="W13" s="167">
        <v>0</v>
      </c>
      <c r="X13" s="167">
        <v>16000</v>
      </c>
      <c r="Y13" s="167">
        <v>16000</v>
      </c>
      <c r="Z13" s="167">
        <v>16000</v>
      </c>
      <c r="AA13" s="167">
        <v>0</v>
      </c>
      <c r="AB13" s="305">
        <f t="shared" si="0"/>
        <v>64000</v>
      </c>
      <c r="AC13" s="167">
        <f t="shared" si="73"/>
        <v>0</v>
      </c>
      <c r="AD13" s="167">
        <f>17000*2</f>
        <v>34000</v>
      </c>
      <c r="AE13" s="167">
        <v>17000</v>
      </c>
      <c r="AF13" s="167">
        <f t="shared" si="64"/>
        <v>0</v>
      </c>
      <c r="AG13" s="167">
        <f t="shared" si="65"/>
        <v>17280</v>
      </c>
      <c r="AH13" s="167">
        <v>17280</v>
      </c>
      <c r="AI13" s="167">
        <f>17280*2</f>
        <v>34560</v>
      </c>
      <c r="AJ13" s="167">
        <v>17280</v>
      </c>
      <c r="AK13" s="167">
        <f t="shared" si="69"/>
        <v>17280</v>
      </c>
      <c r="AL13" s="167">
        <f t="shared" si="70"/>
        <v>17280</v>
      </c>
      <c r="AM13" s="167">
        <f t="shared" si="71"/>
        <v>17280</v>
      </c>
      <c r="AN13" s="167">
        <f t="shared" si="72"/>
        <v>0</v>
      </c>
      <c r="AO13" s="305">
        <f t="shared" si="1"/>
        <v>189240</v>
      </c>
      <c r="AP13" s="167">
        <v>17280</v>
      </c>
      <c r="AQ13" s="167">
        <v>17280</v>
      </c>
      <c r="AR13" s="167">
        <v>17280</v>
      </c>
      <c r="AS13" s="167">
        <v>17280</v>
      </c>
      <c r="AT13" s="167">
        <v>17280</v>
      </c>
      <c r="AU13" s="167">
        <v>17280</v>
      </c>
      <c r="AV13" s="167">
        <v>17280</v>
      </c>
      <c r="AW13" s="167">
        <v>17280</v>
      </c>
      <c r="AX13" s="167">
        <v>17280</v>
      </c>
      <c r="AY13" s="167">
        <v>17280</v>
      </c>
      <c r="AZ13" s="167">
        <v>0</v>
      </c>
      <c r="BB13" s="305">
        <f t="shared" si="2"/>
        <v>172800</v>
      </c>
      <c r="BD13" s="167">
        <v>9000</v>
      </c>
      <c r="BE13" s="167">
        <f t="shared" si="41"/>
        <v>9000</v>
      </c>
      <c r="BF13" s="167">
        <v>18000</v>
      </c>
      <c r="BG13" s="167">
        <f t="shared" si="43"/>
        <v>18000</v>
      </c>
      <c r="BH13" s="167">
        <f t="shared" si="44"/>
        <v>18000</v>
      </c>
      <c r="BI13" s="167">
        <f t="shared" si="45"/>
        <v>18000</v>
      </c>
      <c r="BJ13" s="167">
        <f t="shared" si="46"/>
        <v>18000</v>
      </c>
      <c r="BK13" s="167">
        <f t="shared" si="47"/>
        <v>18000</v>
      </c>
      <c r="BL13" s="167">
        <f t="shared" si="48"/>
        <v>18000</v>
      </c>
      <c r="BM13" s="167">
        <f t="shared" si="49"/>
        <v>18000</v>
      </c>
      <c r="BN13" s="167">
        <f t="shared" si="50"/>
        <v>18000</v>
      </c>
      <c r="BO13" s="305">
        <f t="shared" si="3"/>
        <v>180000</v>
      </c>
      <c r="BP13" s="167">
        <v>25000</v>
      </c>
      <c r="BQ13" s="167">
        <v>25000</v>
      </c>
      <c r="BR13" s="167">
        <v>25000</v>
      </c>
      <c r="BS13" s="167">
        <v>25000</v>
      </c>
      <c r="BT13" s="167">
        <v>25000</v>
      </c>
      <c r="BU13" s="167">
        <v>25000</v>
      </c>
      <c r="BV13" s="167">
        <v>25000</v>
      </c>
      <c r="BW13" s="167">
        <v>25000</v>
      </c>
      <c r="BX13" s="167">
        <v>25000</v>
      </c>
      <c r="BY13" s="167">
        <v>25000</v>
      </c>
      <c r="BZ13" s="167">
        <v>25000</v>
      </c>
      <c r="CA13" s="167">
        <v>25000</v>
      </c>
      <c r="CB13" s="160">
        <f t="shared" ref="CB13:CB16" si="74">SUM(BP13:CA13)</f>
        <v>300000</v>
      </c>
      <c r="CC13" s="167">
        <f>2000</f>
        <v>2000</v>
      </c>
      <c r="CD13" s="167">
        <f t="shared" si="5"/>
        <v>2000</v>
      </c>
      <c r="CE13" s="167">
        <f t="shared" si="6"/>
        <v>2000</v>
      </c>
      <c r="CF13" s="167">
        <f t="shared" si="7"/>
        <v>2000</v>
      </c>
      <c r="CG13" s="167">
        <f t="shared" si="8"/>
        <v>2000</v>
      </c>
      <c r="CH13" s="167">
        <f t="shared" si="9"/>
        <v>2000</v>
      </c>
      <c r="CI13" s="167">
        <f t="shared" si="10"/>
        <v>2000</v>
      </c>
      <c r="CJ13" s="167">
        <f t="shared" si="11"/>
        <v>2000</v>
      </c>
      <c r="CK13" s="167">
        <f t="shared" si="12"/>
        <v>2000</v>
      </c>
      <c r="CL13" s="167">
        <f t="shared" si="13"/>
        <v>2000</v>
      </c>
      <c r="CM13" s="167">
        <f t="shared" si="14"/>
        <v>2000</v>
      </c>
      <c r="CN13" s="167">
        <f t="shared" si="15"/>
        <v>2000</v>
      </c>
      <c r="CO13" s="160">
        <f t="shared" si="16"/>
        <v>24000</v>
      </c>
      <c r="CP13" s="185"/>
      <c r="CQ13" s="185"/>
      <c r="CR13" s="185"/>
      <c r="CS13" s="185"/>
      <c r="CT13" s="185"/>
      <c r="CU13" s="185"/>
      <c r="CV13" s="185"/>
      <c r="CW13" s="185"/>
      <c r="CX13" s="185"/>
      <c r="CY13" s="185"/>
      <c r="CZ13" s="185"/>
      <c r="DA13" s="185"/>
      <c r="DB13" s="185"/>
      <c r="DC13" s="185"/>
      <c r="DD13" s="185"/>
      <c r="DE13" s="185"/>
      <c r="DF13" s="185"/>
      <c r="DG13" s="185"/>
      <c r="DH13" s="185"/>
      <c r="DI13" s="185"/>
      <c r="DJ13" s="185"/>
      <c r="DK13" s="185"/>
      <c r="DL13" s="185"/>
      <c r="DM13" s="185"/>
      <c r="DN13" s="185"/>
      <c r="DO13" s="185"/>
      <c r="DP13" s="185"/>
      <c r="DQ13" s="185"/>
      <c r="DR13" s="185"/>
      <c r="DS13" s="185"/>
      <c r="DT13" s="185"/>
      <c r="DU13" s="185"/>
      <c r="DV13" s="185"/>
      <c r="DW13" s="185"/>
      <c r="DX13" s="185"/>
      <c r="DY13" s="185"/>
      <c r="DZ13" s="185"/>
      <c r="EA13" s="185"/>
      <c r="EB13" s="185"/>
      <c r="EC13" s="185"/>
      <c r="ED13" s="185"/>
      <c r="EE13" s="185"/>
      <c r="EF13" s="185"/>
      <c r="EG13" s="185"/>
      <c r="EH13" s="185"/>
      <c r="EI13" s="185"/>
      <c r="EJ13" s="185"/>
      <c r="EK13" s="185"/>
      <c r="EL13" s="185"/>
      <c r="EM13" s="185"/>
      <c r="EN13" s="185"/>
      <c r="EO13" s="185"/>
      <c r="EP13" s="185"/>
      <c r="EQ13" s="185"/>
      <c r="ER13" s="185"/>
      <c r="ES13" s="185"/>
      <c r="ET13" s="185"/>
      <c r="EU13" s="185"/>
      <c r="EV13" s="185"/>
      <c r="EW13" s="185"/>
      <c r="EX13" s="185"/>
      <c r="EY13" s="185"/>
      <c r="EZ13" s="185"/>
      <c r="FA13" s="185"/>
      <c r="FB13" s="185"/>
      <c r="FC13" s="185"/>
      <c r="FD13" s="185"/>
    </row>
    <row r="14" spans="1:160" ht="14">
      <c r="A14" s="150"/>
      <c r="B14" s="151"/>
      <c r="C14" s="151"/>
      <c r="D14" s="151"/>
      <c r="E14" s="151"/>
      <c r="F14" s="151"/>
      <c r="G14" s="151"/>
      <c r="H14" s="151"/>
      <c r="I14" s="151"/>
      <c r="J14" s="151"/>
      <c r="K14" s="151">
        <v>25000</v>
      </c>
      <c r="L14" s="151">
        <v>25000</v>
      </c>
      <c r="M14" s="151">
        <v>25000</v>
      </c>
      <c r="N14" s="152"/>
      <c r="O14" s="150" t="s">
        <v>273</v>
      </c>
      <c r="P14" s="151"/>
      <c r="Q14" s="151"/>
      <c r="R14" s="151"/>
      <c r="S14" s="151"/>
      <c r="T14" s="151"/>
      <c r="U14" s="151"/>
      <c r="V14" s="151"/>
      <c r="W14" s="151"/>
      <c r="X14" s="151"/>
      <c r="Y14" s="151"/>
      <c r="Z14" s="151"/>
      <c r="AA14" s="151"/>
      <c r="AB14" s="164">
        <f t="shared" si="0"/>
        <v>0</v>
      </c>
      <c r="AC14" s="151"/>
      <c r="AD14" s="185"/>
      <c r="AE14" s="185"/>
      <c r="AF14" s="185"/>
      <c r="AG14" s="185"/>
      <c r="AH14" s="185"/>
      <c r="AI14" s="185"/>
      <c r="AJ14" s="185"/>
      <c r="AK14" s="185"/>
      <c r="AL14" s="185"/>
      <c r="AM14" s="185"/>
      <c r="AN14" s="185"/>
      <c r="AO14" s="164"/>
      <c r="AP14" s="151">
        <v>1000</v>
      </c>
      <c r="AQ14" s="151">
        <v>1000</v>
      </c>
      <c r="AR14" s="151">
        <v>1000</v>
      </c>
      <c r="AS14" s="151">
        <v>1000</v>
      </c>
      <c r="AT14" s="151">
        <v>1000</v>
      </c>
      <c r="AU14" s="151">
        <v>1000</v>
      </c>
      <c r="AV14" s="151">
        <v>1000</v>
      </c>
      <c r="AW14" s="151">
        <v>1000</v>
      </c>
      <c r="AX14" s="151">
        <v>1000</v>
      </c>
      <c r="AY14" s="151">
        <v>1000</v>
      </c>
      <c r="AZ14" s="151">
        <v>1000</v>
      </c>
      <c r="BA14" s="151">
        <v>1000</v>
      </c>
      <c r="BB14" s="164">
        <f t="shared" si="2"/>
        <v>12000</v>
      </c>
      <c r="BC14" s="151">
        <v>1000</v>
      </c>
      <c r="BD14" s="151"/>
      <c r="BE14" s="151"/>
      <c r="BF14" s="151"/>
      <c r="BG14" s="151"/>
      <c r="BH14" s="151"/>
      <c r="BI14" s="151"/>
      <c r="BJ14" s="151"/>
      <c r="BK14" s="151"/>
      <c r="BL14" s="151"/>
      <c r="BM14" s="151"/>
      <c r="BN14" s="151"/>
      <c r="BO14" s="164">
        <f t="shared" si="3"/>
        <v>1000</v>
      </c>
      <c r="BP14" s="185"/>
      <c r="BQ14" s="185"/>
      <c r="BR14" s="185"/>
      <c r="BS14" s="185"/>
      <c r="BT14" s="185"/>
      <c r="BU14" s="185"/>
      <c r="BV14" s="185"/>
      <c r="BW14" s="185"/>
      <c r="BX14" s="185"/>
      <c r="BY14" s="185"/>
      <c r="BZ14" s="185"/>
      <c r="CA14" s="185"/>
      <c r="CB14" s="164">
        <f t="shared" si="74"/>
        <v>0</v>
      </c>
      <c r="CC14" s="151"/>
      <c r="CD14" s="151"/>
      <c r="CE14" s="151"/>
      <c r="CF14" s="151"/>
      <c r="CG14" s="151"/>
      <c r="CH14" s="151"/>
      <c r="CI14" s="151"/>
      <c r="CJ14" s="151"/>
      <c r="CK14" s="151"/>
      <c r="CL14" s="151"/>
      <c r="CM14" s="151"/>
      <c r="CN14" s="151"/>
      <c r="CO14" s="164">
        <f t="shared" si="16"/>
        <v>0</v>
      </c>
      <c r="CP14" s="185"/>
      <c r="CQ14" s="185"/>
      <c r="CR14" s="185"/>
      <c r="CS14" s="185"/>
      <c r="CT14" s="185"/>
      <c r="CU14" s="185"/>
      <c r="CV14" s="185"/>
      <c r="CW14" s="185"/>
      <c r="CX14" s="185"/>
      <c r="CY14" s="185"/>
      <c r="CZ14" s="185"/>
      <c r="DA14" s="185"/>
      <c r="DB14" s="185"/>
      <c r="DC14" s="185"/>
      <c r="DD14" s="185"/>
      <c r="DE14" s="185"/>
      <c r="DF14" s="185"/>
      <c r="DG14" s="185"/>
      <c r="DH14" s="185"/>
      <c r="DI14" s="185"/>
      <c r="DJ14" s="185"/>
      <c r="DK14" s="185"/>
      <c r="DL14" s="185"/>
      <c r="DM14" s="185"/>
      <c r="DN14" s="185"/>
      <c r="DO14" s="185"/>
      <c r="DP14" s="185"/>
      <c r="DQ14" s="185"/>
      <c r="DR14" s="185"/>
      <c r="DS14" s="185"/>
      <c r="DT14" s="185"/>
      <c r="DU14" s="185"/>
      <c r="DV14" s="185"/>
      <c r="DW14" s="185"/>
      <c r="DX14" s="185"/>
      <c r="DY14" s="185"/>
      <c r="DZ14" s="185"/>
      <c r="EA14" s="185"/>
      <c r="EB14" s="185"/>
      <c r="EC14" s="185"/>
      <c r="ED14" s="185"/>
      <c r="EE14" s="185"/>
      <c r="EF14" s="185"/>
      <c r="EG14" s="185"/>
      <c r="EH14" s="185"/>
      <c r="EI14" s="185"/>
      <c r="EJ14" s="185"/>
      <c r="EK14" s="185"/>
      <c r="EL14" s="185"/>
      <c r="EM14" s="185"/>
      <c r="EN14" s="185"/>
      <c r="EO14" s="185"/>
      <c r="EP14" s="185"/>
      <c r="EQ14" s="185"/>
      <c r="ER14" s="185"/>
      <c r="ES14" s="185"/>
      <c r="ET14" s="185"/>
      <c r="EU14" s="185"/>
      <c r="EV14" s="185"/>
      <c r="EW14" s="185"/>
      <c r="EX14" s="185"/>
      <c r="EY14" s="185"/>
      <c r="EZ14" s="185"/>
      <c r="FA14" s="185"/>
      <c r="FB14" s="185"/>
      <c r="FC14" s="185"/>
      <c r="FD14" s="185"/>
    </row>
    <row r="15" spans="1:160" ht="14">
      <c r="A15" s="296"/>
      <c r="B15" s="167">
        <v>23000</v>
      </c>
      <c r="C15" s="167">
        <v>23000</v>
      </c>
      <c r="D15" s="167">
        <v>23000</v>
      </c>
      <c r="E15" s="167">
        <v>23000</v>
      </c>
      <c r="F15" s="167">
        <v>23000</v>
      </c>
      <c r="G15" s="167">
        <v>23000</v>
      </c>
      <c r="H15" s="167">
        <v>23000</v>
      </c>
      <c r="I15" s="167">
        <v>23000</v>
      </c>
      <c r="J15" s="167">
        <v>23000</v>
      </c>
      <c r="K15" s="167">
        <v>23000</v>
      </c>
      <c r="L15" s="167">
        <v>23000</v>
      </c>
      <c r="M15" s="167">
        <v>23000</v>
      </c>
      <c r="N15" s="168"/>
      <c r="O15" s="296"/>
      <c r="P15" s="167"/>
      <c r="Q15" s="167"/>
      <c r="R15" s="167"/>
      <c r="S15" s="167"/>
      <c r="T15" s="167"/>
      <c r="U15" s="167"/>
      <c r="V15" s="167"/>
      <c r="W15" s="167"/>
      <c r="X15" s="167"/>
      <c r="Y15" s="167"/>
      <c r="Z15" s="167"/>
      <c r="AA15" s="167"/>
      <c r="AB15" s="305">
        <f t="shared" si="0"/>
        <v>0</v>
      </c>
      <c r="AC15" s="167"/>
      <c r="AO15" s="305"/>
      <c r="AT15" s="167">
        <f>(2720.2/4)*25</f>
        <v>17001.25</v>
      </c>
      <c r="AW15" s="167">
        <f>(2720.2/4)*25</f>
        <v>17001.25</v>
      </c>
      <c r="AZ15" s="167">
        <f>(2720.2/4)*25</f>
        <v>17001.25</v>
      </c>
      <c r="BB15" s="305">
        <f t="shared" si="2"/>
        <v>51003.75</v>
      </c>
      <c r="BD15" s="314"/>
      <c r="BG15" s="314">
        <v>18000</v>
      </c>
      <c r="BJ15" s="314">
        <f>BG15</f>
        <v>18000</v>
      </c>
      <c r="BM15" s="314">
        <f>BJ15</f>
        <v>18000</v>
      </c>
      <c r="BO15" s="305">
        <f t="shared" si="3"/>
        <v>54000</v>
      </c>
      <c r="BP15" s="309"/>
      <c r="BQ15" s="309"/>
      <c r="BR15" s="309"/>
      <c r="BS15" s="315">
        <v>6000</v>
      </c>
      <c r="BT15" s="309">
        <v>84000</v>
      </c>
      <c r="BU15" s="309">
        <v>46800</v>
      </c>
      <c r="BV15" s="309"/>
      <c r="BW15" s="309"/>
      <c r="BX15" s="309"/>
      <c r="BY15" s="315">
        <v>12500</v>
      </c>
      <c r="BZ15" s="309"/>
      <c r="CA15" s="309"/>
      <c r="CB15" s="305">
        <f t="shared" si="74"/>
        <v>149300</v>
      </c>
      <c r="CC15" s="309"/>
      <c r="CD15" s="309"/>
      <c r="CE15" s="309"/>
      <c r="CF15" s="315"/>
      <c r="CG15" s="309"/>
      <c r="CH15" s="309"/>
      <c r="CI15" s="315"/>
      <c r="CJ15" s="309"/>
      <c r="CK15" s="309"/>
      <c r="CL15" s="315"/>
      <c r="CM15" s="309"/>
      <c r="CN15" s="315"/>
      <c r="CO15" s="305">
        <f t="shared" si="16"/>
        <v>0</v>
      </c>
      <c r="CP15" s="309"/>
      <c r="CQ15" s="309"/>
      <c r="CR15" s="309"/>
      <c r="CS15" s="309"/>
      <c r="CT15" s="309"/>
      <c r="CU15" s="309"/>
      <c r="CV15" s="309"/>
      <c r="CW15" s="309"/>
      <c r="CX15" s="309"/>
      <c r="CY15" s="309"/>
      <c r="CZ15" s="309"/>
      <c r="DA15" s="309"/>
      <c r="DB15" s="309"/>
      <c r="DC15" s="309"/>
      <c r="DD15" s="309"/>
      <c r="DE15" s="309"/>
      <c r="DF15" s="309"/>
      <c r="DG15" s="309"/>
      <c r="DH15" s="309"/>
      <c r="DI15" s="309"/>
      <c r="DJ15" s="309"/>
      <c r="DK15" s="309"/>
      <c r="DL15" s="309"/>
      <c r="DM15" s="309"/>
      <c r="DN15" s="309"/>
      <c r="DO15" s="309"/>
      <c r="DP15" s="309"/>
      <c r="DQ15" s="309"/>
      <c r="DR15" s="309"/>
      <c r="DS15" s="309"/>
      <c r="DT15" s="309"/>
      <c r="DU15" s="309"/>
      <c r="DV15" s="309"/>
      <c r="DW15" s="309"/>
      <c r="DX15" s="309"/>
      <c r="DY15" s="309"/>
      <c r="DZ15" s="309"/>
      <c r="EA15" s="309"/>
      <c r="EB15" s="309"/>
      <c r="EC15" s="309"/>
      <c r="ED15" s="309"/>
      <c r="EE15" s="309"/>
      <c r="EF15" s="309"/>
      <c r="EG15" s="309"/>
      <c r="EH15" s="309"/>
      <c r="EI15" s="309"/>
      <c r="EJ15" s="309"/>
      <c r="EK15" s="309"/>
      <c r="EL15" s="309"/>
      <c r="EM15" s="309"/>
      <c r="EN15" s="309"/>
      <c r="EO15" s="309"/>
      <c r="EP15" s="309"/>
      <c r="EQ15" s="309"/>
      <c r="ER15" s="309"/>
      <c r="ES15" s="309"/>
      <c r="ET15" s="309"/>
      <c r="EU15" s="309"/>
      <c r="EV15" s="309"/>
      <c r="EW15" s="309"/>
      <c r="EX15" s="309"/>
      <c r="EY15" s="309"/>
      <c r="EZ15" s="309"/>
      <c r="FA15" s="309"/>
      <c r="FB15" s="309"/>
      <c r="FC15" s="309"/>
      <c r="FD15" s="309"/>
    </row>
    <row r="16" spans="1:160" ht="14">
      <c r="A16" s="150" t="s">
        <v>274</v>
      </c>
      <c r="B16" s="150">
        <v>25000</v>
      </c>
      <c r="C16" s="151">
        <v>25000</v>
      </c>
      <c r="D16" s="151">
        <v>25000</v>
      </c>
      <c r="E16" s="151">
        <v>25000</v>
      </c>
      <c r="F16" s="151">
        <v>25000</v>
      </c>
      <c r="G16" s="151">
        <v>25000</v>
      </c>
      <c r="H16" s="151">
        <v>25000</v>
      </c>
      <c r="I16" s="151">
        <v>25000</v>
      </c>
      <c r="J16" s="151">
        <v>25000</v>
      </c>
      <c r="K16" s="151">
        <v>25000</v>
      </c>
      <c r="L16" s="151">
        <v>25000</v>
      </c>
      <c r="M16" s="151">
        <v>25000</v>
      </c>
      <c r="N16" s="151"/>
      <c r="O16" s="164"/>
      <c r="P16" s="185"/>
      <c r="Q16" s="185"/>
      <c r="R16" s="185"/>
      <c r="S16" s="185"/>
      <c r="T16" s="185"/>
      <c r="U16" s="185"/>
      <c r="V16" s="185"/>
      <c r="W16" s="185"/>
      <c r="X16" s="185"/>
      <c r="Y16" s="185"/>
      <c r="Z16" s="185"/>
      <c r="AA16" s="185"/>
      <c r="AB16" s="185">
        <f t="shared" si="0"/>
        <v>0</v>
      </c>
      <c r="AC16" s="185"/>
      <c r="AD16" s="185"/>
      <c r="AE16" s="185"/>
      <c r="AF16" s="185"/>
      <c r="AG16" s="185"/>
      <c r="AH16" s="185"/>
      <c r="AI16" s="185"/>
      <c r="AJ16" s="185"/>
      <c r="AK16" s="185"/>
      <c r="AL16" s="185"/>
      <c r="AM16" s="185"/>
      <c r="AN16" s="185"/>
      <c r="AO16" s="185"/>
      <c r="AP16" s="185"/>
      <c r="AQ16" s="185"/>
      <c r="AR16" s="185"/>
      <c r="AS16" s="185"/>
      <c r="AT16" s="185"/>
      <c r="AU16" s="185"/>
      <c r="AV16" s="185"/>
      <c r="AW16" s="185"/>
      <c r="AX16" s="185"/>
      <c r="AY16" s="185"/>
      <c r="AZ16" s="185"/>
      <c r="BA16" s="185"/>
      <c r="BB16" s="185"/>
      <c r="BC16" s="151">
        <v>0</v>
      </c>
      <c r="BD16" s="185"/>
      <c r="BE16" s="151">
        <v>7500</v>
      </c>
      <c r="BF16" s="185"/>
      <c r="BG16" s="151">
        <v>7500</v>
      </c>
      <c r="BH16" s="185"/>
      <c r="BI16" s="151">
        <v>7500</v>
      </c>
      <c r="BJ16" s="185"/>
      <c r="BK16" s="151">
        <v>7500</v>
      </c>
      <c r="BL16" s="185"/>
      <c r="BM16" s="151">
        <v>7500</v>
      </c>
      <c r="BN16" s="185"/>
      <c r="BO16" s="164">
        <f t="shared" si="3"/>
        <v>37500</v>
      </c>
      <c r="BP16" s="185"/>
      <c r="BQ16" s="151">
        <f>35000</f>
        <v>35000</v>
      </c>
      <c r="BR16" s="185"/>
      <c r="BS16" s="185"/>
      <c r="BT16" s="185"/>
      <c r="BU16" s="185"/>
      <c r="BV16" s="185"/>
      <c r="BW16" s="185"/>
      <c r="BX16" s="185"/>
      <c r="BY16" s="185"/>
      <c r="BZ16" s="185"/>
      <c r="CA16" s="185"/>
      <c r="CB16" s="164">
        <f t="shared" si="74"/>
        <v>35000</v>
      </c>
      <c r="CC16" s="185"/>
      <c r="CD16" s="151"/>
      <c r="CE16" s="185"/>
      <c r="CF16" s="185"/>
      <c r="CG16" s="185"/>
      <c r="CH16" s="151"/>
      <c r="CI16" s="185"/>
      <c r="CJ16" s="185"/>
      <c r="CK16" s="151"/>
      <c r="CL16" s="185"/>
      <c r="CM16" s="185"/>
      <c r="CN16" s="185"/>
      <c r="CO16" s="164">
        <f t="shared" si="16"/>
        <v>0</v>
      </c>
      <c r="CP16" s="185"/>
      <c r="CQ16" s="185"/>
      <c r="CR16" s="185"/>
      <c r="CS16" s="185"/>
      <c r="CT16" s="185"/>
      <c r="CU16" s="185"/>
      <c r="CV16" s="185"/>
      <c r="CW16" s="185"/>
      <c r="CX16" s="185"/>
      <c r="CY16" s="185"/>
      <c r="CZ16" s="185"/>
      <c r="DA16" s="185"/>
      <c r="DB16" s="185"/>
      <c r="DC16" s="185"/>
      <c r="DD16" s="185"/>
      <c r="DE16" s="150"/>
      <c r="DF16" s="150"/>
      <c r="DG16" s="151"/>
      <c r="DH16" s="151"/>
      <c r="DI16" s="151"/>
      <c r="DJ16" s="151"/>
      <c r="DK16" s="151"/>
      <c r="DL16" s="151"/>
      <c r="DM16" s="151"/>
      <c r="DN16" s="151"/>
      <c r="DO16" s="151"/>
      <c r="DP16" s="151"/>
      <c r="DQ16" s="151"/>
      <c r="DR16" s="151"/>
      <c r="DS16" s="164"/>
      <c r="DT16" s="185"/>
      <c r="DU16" s="185"/>
      <c r="DV16" s="185"/>
      <c r="DW16" s="185"/>
      <c r="DX16" s="185"/>
      <c r="DY16" s="185"/>
      <c r="DZ16" s="185"/>
      <c r="EA16" s="185"/>
      <c r="EB16" s="185"/>
      <c r="EC16" s="185"/>
      <c r="ED16" s="185"/>
      <c r="EE16" s="185"/>
      <c r="EF16" s="185"/>
      <c r="EG16" s="185"/>
      <c r="EH16" s="185"/>
      <c r="EI16" s="185"/>
      <c r="EJ16" s="185"/>
      <c r="EK16" s="185"/>
      <c r="EL16" s="185"/>
      <c r="EM16" s="185"/>
      <c r="EN16" s="185"/>
      <c r="EO16" s="185"/>
      <c r="EP16" s="185"/>
      <c r="EQ16" s="185"/>
      <c r="ER16" s="185"/>
      <c r="ES16" s="185"/>
      <c r="ET16" s="185"/>
      <c r="EU16" s="185"/>
      <c r="EV16" s="185"/>
      <c r="EW16" s="185"/>
      <c r="EX16" s="185"/>
      <c r="EY16" s="185"/>
      <c r="EZ16" s="185"/>
      <c r="FA16" s="185"/>
      <c r="FB16" s="185"/>
      <c r="FC16" s="185"/>
      <c r="FD16" s="185"/>
    </row>
    <row r="17" spans="1:160" ht="14">
      <c r="A17" s="166"/>
      <c r="B17" s="167"/>
      <c r="C17" s="167"/>
      <c r="D17" s="167"/>
      <c r="E17" s="167"/>
      <c r="F17" s="167"/>
      <c r="G17" s="167"/>
      <c r="H17" s="167"/>
      <c r="I17" s="167"/>
      <c r="J17" s="167"/>
      <c r="K17" s="167"/>
      <c r="L17" s="167"/>
      <c r="M17" s="167"/>
      <c r="N17" s="168"/>
      <c r="O17" s="2" t="s">
        <v>275</v>
      </c>
      <c r="AP17" s="316">
        <f>AP7+AP14+AP12</f>
        <v>5600</v>
      </c>
      <c r="AQ17" s="316">
        <f t="shared" ref="AQ17:AQ18" si="75">AP17*12</f>
        <v>67200</v>
      </c>
      <c r="AR17" s="2" t="s">
        <v>276</v>
      </c>
      <c r="AS17" s="316">
        <f>AP8+AP9</f>
        <v>956.34</v>
      </c>
      <c r="AT17" s="316">
        <f>AS17*12</f>
        <v>11476.08</v>
      </c>
      <c r="AV17" s="2" t="s">
        <v>277</v>
      </c>
      <c r="AW17" s="316">
        <f>AQ17+AT17</f>
        <v>78676.08</v>
      </c>
      <c r="BC17" s="75">
        <f>BC7+BC12+BC14</f>
        <v>5600</v>
      </c>
      <c r="BD17" s="75">
        <f t="shared" ref="BD17:BD18" si="76">BC17*12</f>
        <v>67200</v>
      </c>
      <c r="BE17" s="2" t="s">
        <v>278</v>
      </c>
      <c r="BF17" s="75">
        <f>BC9+BC10+BC11</f>
        <v>2871.5520000000001</v>
      </c>
      <c r="BG17" s="75">
        <f>BF17*12</f>
        <v>34458.624000000003</v>
      </c>
      <c r="BI17" s="2" t="s">
        <v>279</v>
      </c>
      <c r="BJ17" s="75">
        <f>BD17+BG17</f>
        <v>101658.62400000001</v>
      </c>
      <c r="BP17" s="75">
        <f>BP7+BP12+BP14</f>
        <v>4968</v>
      </c>
      <c r="BQ17" s="75">
        <f t="shared" ref="BQ17:BQ18" si="77">BP17*12</f>
        <v>59616</v>
      </c>
      <c r="BR17" s="2" t="s">
        <v>280</v>
      </c>
      <c r="BS17" s="75">
        <f>BP9+BP10+BP11</f>
        <v>3155.2761600000003</v>
      </c>
      <c r="BT17" s="75">
        <f>BS17*12</f>
        <v>37863.313920000001</v>
      </c>
      <c r="BV17" s="2" t="s">
        <v>281</v>
      </c>
      <c r="BW17" s="75">
        <f>BQ17+BT17</f>
        <v>97479.313920000001</v>
      </c>
      <c r="CC17" s="75"/>
      <c r="CD17" s="75"/>
      <c r="CF17" s="75"/>
      <c r="CG17" s="75"/>
      <c r="CJ17" s="75"/>
    </row>
    <row r="18" spans="1:160" ht="14">
      <c r="A18" s="166"/>
      <c r="B18" s="167"/>
      <c r="C18" s="167"/>
      <c r="D18" s="167"/>
      <c r="E18" s="167"/>
      <c r="F18" s="167"/>
      <c r="G18" s="167"/>
      <c r="H18" s="167"/>
      <c r="I18" s="167"/>
      <c r="J18" s="167"/>
      <c r="K18" s="167"/>
      <c r="L18" s="167"/>
      <c r="M18" s="167"/>
      <c r="N18" s="168"/>
      <c r="O18" s="2" t="s">
        <v>282</v>
      </c>
      <c r="AP18" s="75">
        <f>AP10</f>
        <v>750</v>
      </c>
      <c r="AQ18" s="316">
        <f t="shared" si="75"/>
        <v>9000</v>
      </c>
      <c r="AV18" s="2" t="s">
        <v>283</v>
      </c>
      <c r="AW18" s="316">
        <f>AT17+AQ18</f>
        <v>20476.080000000002</v>
      </c>
      <c r="AX18" s="148"/>
      <c r="AY18" s="148"/>
      <c r="AZ18" s="148"/>
      <c r="BA18" s="148"/>
      <c r="BB18" s="148"/>
      <c r="BC18" s="173">
        <f>BC10</f>
        <v>750</v>
      </c>
      <c r="BD18" s="75">
        <f t="shared" si="76"/>
        <v>9000</v>
      </c>
      <c r="BE18" s="148"/>
      <c r="BF18" s="148"/>
      <c r="BG18" s="148"/>
      <c r="BH18" s="148"/>
      <c r="BI18" s="148" t="s">
        <v>284</v>
      </c>
      <c r="BJ18" s="75">
        <f>BG17+BD18</f>
        <v>43458.624000000003</v>
      </c>
      <c r="BK18" s="148"/>
      <c r="BL18" s="148"/>
      <c r="BM18" s="148"/>
      <c r="BN18" s="148"/>
      <c r="BO18" s="148"/>
      <c r="BP18" s="173">
        <f>BP10</f>
        <v>810</v>
      </c>
      <c r="BQ18" s="75">
        <f t="shared" si="77"/>
        <v>9720</v>
      </c>
      <c r="BR18" s="148"/>
      <c r="BS18" s="148"/>
      <c r="BT18" s="148"/>
      <c r="BU18" s="148"/>
      <c r="BV18" s="148" t="s">
        <v>285</v>
      </c>
      <c r="BW18" s="75">
        <f>BT17+BQ18</f>
        <v>47583.313920000001</v>
      </c>
      <c r="BX18" s="148"/>
      <c r="BY18" s="148"/>
      <c r="BZ18" s="148"/>
      <c r="CA18" s="148"/>
      <c r="CB18" s="148"/>
      <c r="CC18" s="173"/>
      <c r="CD18" s="75"/>
      <c r="CE18" s="148"/>
      <c r="CF18" s="148"/>
      <c r="CG18" s="148"/>
      <c r="CH18" s="148"/>
      <c r="CI18" s="148"/>
      <c r="CJ18" s="75"/>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row>
    <row r="19" spans="1:160" ht="14">
      <c r="A19" s="169" t="s">
        <v>336</v>
      </c>
      <c r="B19" s="170"/>
      <c r="C19" s="170"/>
      <c r="D19" s="170"/>
      <c r="E19" s="170"/>
      <c r="F19" s="170"/>
      <c r="G19" s="170"/>
      <c r="H19" s="170"/>
      <c r="I19" s="170"/>
      <c r="J19" s="170"/>
      <c r="K19" s="170"/>
      <c r="L19" s="170"/>
      <c r="M19" s="170"/>
      <c r="N19" s="171"/>
      <c r="O19" s="172"/>
      <c r="P19" s="172"/>
      <c r="Q19" s="172"/>
      <c r="R19" s="173"/>
      <c r="S19" s="148"/>
      <c r="T19" s="148"/>
      <c r="U19" s="148"/>
      <c r="V19" s="148"/>
      <c r="W19" s="148"/>
      <c r="X19" s="148"/>
      <c r="Y19" s="148"/>
      <c r="Z19" s="148"/>
      <c r="AA19" s="148"/>
      <c r="AB19" s="148"/>
      <c r="AC19" s="148"/>
      <c r="AD19" s="148"/>
      <c r="AE19" s="148"/>
      <c r="AF19" s="148"/>
      <c r="AG19" s="148"/>
      <c r="AH19" s="148"/>
      <c r="AI19" s="148"/>
      <c r="AJ19" s="148"/>
      <c r="AK19" s="148"/>
      <c r="AL19" s="148"/>
      <c r="AM19" s="148"/>
      <c r="AN19" s="148"/>
      <c r="AO19" s="148"/>
      <c r="AP19" s="148"/>
      <c r="AQ19" s="148"/>
      <c r="AR19" s="148"/>
      <c r="AS19" s="148"/>
      <c r="AT19" s="148"/>
      <c r="AU19" s="148"/>
      <c r="AV19" s="148"/>
      <c r="AW19" s="148"/>
      <c r="AX19" s="148"/>
      <c r="AY19" s="148"/>
      <c r="AZ19" s="148"/>
      <c r="BA19" s="148"/>
      <c r="BB19" s="148"/>
      <c r="BC19" s="148"/>
      <c r="BD19" s="148"/>
      <c r="BE19" s="148"/>
      <c r="BF19" s="148"/>
      <c r="BG19" s="148"/>
      <c r="BH19" s="148"/>
      <c r="BI19" s="148"/>
      <c r="BJ19" s="148"/>
      <c r="BK19" s="148"/>
      <c r="BL19" s="148"/>
      <c r="BM19" s="148"/>
      <c r="BN19" s="148"/>
      <c r="BO19" s="148"/>
      <c r="BP19" s="148"/>
      <c r="BQ19" s="148"/>
      <c r="BR19" s="148"/>
      <c r="BS19" s="148"/>
      <c r="BT19" s="148"/>
      <c r="BU19" s="148"/>
      <c r="BV19" s="148"/>
      <c r="BW19" s="148"/>
      <c r="BX19" s="148"/>
      <c r="BY19" s="148"/>
      <c r="BZ19" s="148"/>
      <c r="CA19" s="148"/>
      <c r="CB19" s="148"/>
      <c r="CC19" s="148"/>
      <c r="CD19" s="148"/>
      <c r="CE19" s="148"/>
      <c r="CF19" s="148"/>
      <c r="CG19" s="148"/>
      <c r="CH19" s="148"/>
      <c r="CI19" s="148"/>
      <c r="CJ19" s="148"/>
      <c r="CK19" s="148"/>
      <c r="CL19" s="148"/>
      <c r="CM19" s="148"/>
      <c r="CN19" s="148"/>
      <c r="CO19" s="148"/>
      <c r="CP19" s="148"/>
      <c r="CQ19" s="148"/>
      <c r="CR19" s="148"/>
      <c r="CS19" s="148"/>
      <c r="CT19" s="148"/>
      <c r="CU19" s="148"/>
      <c r="CV19" s="148"/>
      <c r="CW19" s="148"/>
      <c r="CX19" s="148"/>
      <c r="CY19" s="148"/>
      <c r="CZ19" s="148"/>
      <c r="DA19" s="148"/>
      <c r="DB19" s="148"/>
      <c r="DC19" s="148"/>
      <c r="DD19" s="148"/>
      <c r="DE19" s="148"/>
      <c r="DF19" s="148"/>
      <c r="DG19" s="148"/>
      <c r="DH19" s="148"/>
      <c r="DI19" s="148"/>
      <c r="DJ19" s="148"/>
      <c r="DK19" s="148"/>
      <c r="DL19" s="148"/>
      <c r="DM19" s="148"/>
      <c r="DN19" s="148"/>
      <c r="DO19" s="148"/>
      <c r="DP19" s="148"/>
      <c r="DQ19" s="148"/>
      <c r="DR19" s="148"/>
      <c r="DS19" s="148"/>
      <c r="DT19" s="148"/>
      <c r="DU19" s="148"/>
      <c r="DV19" s="148"/>
      <c r="DW19" s="148"/>
      <c r="DX19" s="148"/>
      <c r="DY19" s="148"/>
      <c r="DZ19" s="148"/>
      <c r="EA19" s="148"/>
      <c r="EB19" s="148"/>
      <c r="EC19" s="148"/>
      <c r="ED19" s="148"/>
      <c r="EE19" s="148"/>
      <c r="EF19" s="148"/>
      <c r="EG19" s="148"/>
      <c r="EH19" s="148"/>
      <c r="EI19" s="148"/>
      <c r="EJ19" s="148"/>
      <c r="EK19" s="148"/>
      <c r="EL19" s="148"/>
      <c r="EM19" s="148"/>
      <c r="EN19" s="148"/>
      <c r="EO19" s="148"/>
      <c r="EP19" s="148"/>
      <c r="EQ19" s="148"/>
      <c r="ER19" s="148"/>
      <c r="ES19" s="148"/>
      <c r="ET19" s="148"/>
      <c r="EU19" s="148"/>
      <c r="EV19" s="148"/>
      <c r="EW19" s="148"/>
      <c r="EX19" s="148"/>
      <c r="EY19" s="148"/>
      <c r="EZ19" s="148"/>
      <c r="FA19" s="148"/>
      <c r="FB19" s="148"/>
      <c r="FC19" s="148"/>
      <c r="FD19" s="148"/>
    </row>
    <row r="20" spans="1:160" ht="14">
      <c r="A20" s="150" t="s">
        <v>335</v>
      </c>
      <c r="B20" s="151">
        <v>2</v>
      </c>
      <c r="C20" s="151">
        <v>3</v>
      </c>
      <c r="D20" s="151">
        <v>3</v>
      </c>
      <c r="E20" s="151">
        <v>3</v>
      </c>
      <c r="F20" s="151">
        <v>3</v>
      </c>
      <c r="G20" s="151">
        <v>3</v>
      </c>
      <c r="H20" s="151">
        <v>3</v>
      </c>
      <c r="I20" s="151">
        <v>3</v>
      </c>
      <c r="J20" s="151">
        <v>3</v>
      </c>
      <c r="K20" s="151">
        <v>2</v>
      </c>
      <c r="L20" s="151">
        <v>2</v>
      </c>
      <c r="M20" s="151">
        <v>2</v>
      </c>
      <c r="N20" s="152"/>
      <c r="O20" s="150" t="s">
        <v>286</v>
      </c>
      <c r="P20" s="174" t="e">
        <f>'Cal pres Consultoria'!#REF!</f>
        <v>#REF!</v>
      </c>
      <c r="Q20" s="174" t="e">
        <f>'Cal pres Consultoria'!#REF!</f>
        <v>#REF!</v>
      </c>
      <c r="R20" s="174" t="e">
        <f>'Cal pres Consultoria'!#REF!</f>
        <v>#REF!</v>
      </c>
      <c r="S20" s="174" t="e">
        <f>'Cal pres Consultoria'!#REF!</f>
        <v>#REF!</v>
      </c>
      <c r="T20" s="174" t="e">
        <f>'Cal pres Consultoria'!#REF!</f>
        <v>#REF!</v>
      </c>
      <c r="U20" s="174" t="e">
        <f>'Cal pres Consultoria'!#REF!</f>
        <v>#REF!</v>
      </c>
      <c r="V20" s="174" t="e">
        <f>'Cal pres Consultoria'!#REF!</f>
        <v>#REF!</v>
      </c>
      <c r="W20" s="310">
        <v>3</v>
      </c>
      <c r="X20" s="174" t="e">
        <f>'Cal pres Consultoria'!#REF!</f>
        <v>#REF!</v>
      </c>
      <c r="Y20" s="174" t="e">
        <f>'Cal pres Consultoria'!#REF!</f>
        <v>#REF!</v>
      </c>
      <c r="Z20" s="174" t="e">
        <f>'Cal pres Consultoria'!#REF!</f>
        <v>#REF!</v>
      </c>
      <c r="AA20" s="174" t="e">
        <f>'Cal pres Consultoria'!#REF!</f>
        <v>#REF!</v>
      </c>
      <c r="AB20" s="311">
        <v>5</v>
      </c>
      <c r="AC20" s="317" t="e">
        <f>'Cal pres Consultoria'!#REF!</f>
        <v>#REF!</v>
      </c>
      <c r="AD20" s="317" t="e">
        <f>'Cal pres Consultoria'!#REF!</f>
        <v>#REF!</v>
      </c>
      <c r="AE20" s="317" t="e">
        <f>'Cal pres Consultoria'!#REF!</f>
        <v>#REF!</v>
      </c>
      <c r="AF20" s="317" t="e">
        <f>'Cal pres Consultoria'!#REF!</f>
        <v>#REF!</v>
      </c>
      <c r="AG20" s="317" t="e">
        <f>'Cal pres Consultoria'!#REF!</f>
        <v>#REF!</v>
      </c>
      <c r="AH20" s="317" t="e">
        <f>'Cal pres Consultoria'!#REF!</f>
        <v>#REF!</v>
      </c>
      <c r="AI20" s="317" t="e">
        <f>'Cal pres Consultoria'!#REF!</f>
        <v>#REF!</v>
      </c>
      <c r="AJ20" s="317" t="e">
        <f>'Cal pres Consultoria'!#REF!</f>
        <v>#REF!</v>
      </c>
      <c r="AK20" s="317" t="e">
        <f>'Cal pres Consultoria'!#REF!</f>
        <v>#REF!</v>
      </c>
      <c r="AL20" s="317" t="e">
        <f>'Cal pres Consultoria'!#REF!</f>
        <v>#REF!</v>
      </c>
      <c r="AM20" s="317" t="e">
        <f>'Cal pres Consultoria'!#REF!</f>
        <v>#REF!</v>
      </c>
      <c r="AN20" s="317" t="e">
        <f>'Cal pres Consultoria'!#REF!</f>
        <v>#REF!</v>
      </c>
      <c r="AO20" s="181" t="e">
        <f>'Cal pres Consultoria'!#REF!</f>
        <v>#REF!</v>
      </c>
      <c r="AP20" s="317" t="e">
        <f>'Cal pres Consultoria'!#REF!</f>
        <v>#REF!</v>
      </c>
      <c r="AQ20" s="317" t="e">
        <f>'Cal pres Consultoria'!#REF!</f>
        <v>#REF!</v>
      </c>
      <c r="AR20" s="317" t="e">
        <f>'Cal pres Consultoria'!#REF!</f>
        <v>#REF!</v>
      </c>
      <c r="AS20" s="317" t="e">
        <f>'Cal pres Consultoria'!#REF!</f>
        <v>#REF!</v>
      </c>
      <c r="AT20" s="317" t="e">
        <f>'Cal pres Consultoria'!#REF!</f>
        <v>#REF!</v>
      </c>
      <c r="AU20" s="317" t="e">
        <f>'Cal pres Consultoria'!#REF!</f>
        <v>#REF!</v>
      </c>
      <c r="AV20" s="310" t="e">
        <f>'Cal pres Consultoria'!#REF!</f>
        <v>#REF!</v>
      </c>
      <c r="AW20" s="310" t="e">
        <f>'Cal pres Consultoria'!#REF!</f>
        <v>#REF!</v>
      </c>
      <c r="AX20" s="310" t="e">
        <f>'Cal pres Consultoria'!#REF!</f>
        <v>#REF!</v>
      </c>
      <c r="AY20" s="310" t="e">
        <f>'Cal pres Consultoria'!#REF!</f>
        <v>#REF!</v>
      </c>
      <c r="AZ20" s="310" t="e">
        <f>'Cal pres Consultoria'!#REF!</f>
        <v>#REF!</v>
      </c>
      <c r="BA20" s="310" t="e">
        <f>'Cal pres Consultoria'!#REF!</f>
        <v>#REF!</v>
      </c>
      <c r="BB20" s="318" t="e">
        <f>'Cal pres Consultoria'!#REF!</f>
        <v>#REF!</v>
      </c>
      <c r="BC20" s="310" t="e">
        <f>'Cal pres Consultoria'!#REF!</f>
        <v>#REF!</v>
      </c>
      <c r="BD20" s="310" t="e">
        <f>'Cal pres Consultoria'!#REF!</f>
        <v>#REF!</v>
      </c>
      <c r="BE20" s="310" t="e">
        <f>'Cal pres Consultoria'!#REF!</f>
        <v>#REF!</v>
      </c>
      <c r="BF20" s="310" t="e">
        <f>'Cal pres Consultoria'!#REF!</f>
        <v>#REF!</v>
      </c>
      <c r="BG20" s="310" t="e">
        <f>'Cal pres Consultoria'!#REF!</f>
        <v>#REF!</v>
      </c>
      <c r="BH20" s="310" t="e">
        <f>'Cal pres Consultoria'!#REF!</f>
        <v>#REF!</v>
      </c>
      <c r="BI20" s="310" t="e">
        <f>'Cal pres Consultoria'!#REF!</f>
        <v>#REF!</v>
      </c>
      <c r="BJ20" s="310" t="e">
        <f>'Cal pres Consultoria'!#REF!</f>
        <v>#REF!</v>
      </c>
      <c r="BK20" s="310" t="e">
        <f>'Cal pres Consultoria'!#REF!</f>
        <v>#REF!</v>
      </c>
      <c r="BL20" s="310" t="e">
        <f>'Cal pres Consultoria'!#REF!</f>
        <v>#REF!</v>
      </c>
      <c r="BM20" s="310" t="e">
        <f>'Cal pres Consultoria'!#REF!</f>
        <v>#REF!</v>
      </c>
      <c r="BN20" s="310" t="e">
        <f>'Cal pres Consultoria'!#REF!</f>
        <v>#REF!</v>
      </c>
      <c r="BO20" s="318" t="e">
        <f>'Cal pres Consultoria'!#REF!</f>
        <v>#REF!</v>
      </c>
      <c r="BP20" s="310" t="e">
        <f>'Cal pres Consultoria'!#REF!</f>
        <v>#REF!</v>
      </c>
      <c r="BQ20" s="310" t="e">
        <f>'Cal pres Consultoria'!#REF!</f>
        <v>#REF!</v>
      </c>
      <c r="BR20" s="310" t="e">
        <f>'Cal pres Consultoria'!#REF!</f>
        <v>#REF!</v>
      </c>
      <c r="BS20" s="310" t="e">
        <f>'Cal pres Consultoria'!#REF!</f>
        <v>#REF!</v>
      </c>
      <c r="BT20" s="310" t="e">
        <f>'Cal pres Consultoria'!#REF!</f>
        <v>#REF!</v>
      </c>
      <c r="BU20" s="310" t="e">
        <f>'Cal pres Consultoria'!#REF!</f>
        <v>#REF!</v>
      </c>
      <c r="BV20" s="310" t="e">
        <f>'Cal pres Consultoria'!#REF!</f>
        <v>#REF!</v>
      </c>
      <c r="BW20" s="310" t="e">
        <f>'Cal pres Consultoria'!#REF!</f>
        <v>#REF!</v>
      </c>
      <c r="BX20" s="310" t="e">
        <f>'Cal pres Consultoria'!#REF!</f>
        <v>#REF!</v>
      </c>
      <c r="BY20" s="310" t="e">
        <f>'Cal pres Consultoria'!#REF!</f>
        <v>#REF!</v>
      </c>
      <c r="BZ20" s="310" t="e">
        <f>'Cal pres Consultoria'!#REF!</f>
        <v>#REF!</v>
      </c>
      <c r="CA20" s="310" t="e">
        <f>'Cal pres Consultoria'!#REF!</f>
        <v>#REF!</v>
      </c>
      <c r="CB20" s="318" t="e">
        <f>'Cal pres Consultoria'!#REF!</f>
        <v>#REF!</v>
      </c>
      <c r="CC20" s="310">
        <v>4</v>
      </c>
      <c r="CD20" s="310">
        <v>4</v>
      </c>
      <c r="CE20" s="310">
        <v>4</v>
      </c>
      <c r="CF20" s="310">
        <v>4</v>
      </c>
      <c r="CG20" s="310">
        <v>4</v>
      </c>
      <c r="CH20" s="310">
        <v>4</v>
      </c>
      <c r="CI20" s="310">
        <v>4</v>
      </c>
      <c r="CJ20" s="310">
        <v>4</v>
      </c>
      <c r="CK20" s="310">
        <v>4</v>
      </c>
      <c r="CL20" s="310">
        <v>4</v>
      </c>
      <c r="CM20" s="310">
        <v>4</v>
      </c>
      <c r="CN20" s="310">
        <v>4</v>
      </c>
      <c r="CO20" s="318">
        <f t="shared" ref="CO20:CO22" si="78">CN20</f>
        <v>4</v>
      </c>
      <c r="CP20" s="185"/>
      <c r="CQ20" s="185"/>
      <c r="CR20" s="185"/>
      <c r="CS20" s="185"/>
      <c r="CT20" s="185"/>
      <c r="CU20" s="185"/>
      <c r="CV20" s="185"/>
      <c r="CW20" s="185"/>
      <c r="CX20" s="185"/>
      <c r="CY20" s="185"/>
      <c r="CZ20" s="185"/>
      <c r="DA20" s="185"/>
      <c r="DB20" s="185"/>
      <c r="DC20" s="185"/>
      <c r="DD20" s="185"/>
      <c r="DE20" s="185"/>
      <c r="DF20" s="185"/>
      <c r="DG20" s="185"/>
      <c r="DH20" s="185"/>
      <c r="DI20" s="185"/>
      <c r="DJ20" s="185"/>
      <c r="DK20" s="185"/>
      <c r="DL20" s="185"/>
      <c r="DM20" s="185"/>
      <c r="DN20" s="185"/>
      <c r="DO20" s="185"/>
      <c r="DP20" s="185"/>
      <c r="DQ20" s="185"/>
      <c r="DR20" s="185"/>
      <c r="DS20" s="185"/>
      <c r="DT20" s="185"/>
      <c r="DU20" s="185"/>
      <c r="DV20" s="185"/>
      <c r="DW20" s="185"/>
      <c r="DX20" s="185"/>
      <c r="DY20" s="185"/>
      <c r="DZ20" s="185"/>
      <c r="EA20" s="185"/>
      <c r="EB20" s="185"/>
      <c r="EC20" s="185"/>
      <c r="ED20" s="185"/>
      <c r="EE20" s="185"/>
      <c r="EF20" s="185"/>
      <c r="EG20" s="185"/>
      <c r="EH20" s="185"/>
      <c r="EI20" s="185"/>
      <c r="EJ20" s="185"/>
      <c r="EK20" s="185"/>
      <c r="EL20" s="185"/>
      <c r="EM20" s="185"/>
      <c r="EN20" s="185"/>
      <c r="EO20" s="185"/>
      <c r="EP20" s="185"/>
      <c r="EQ20" s="185"/>
      <c r="ER20" s="185"/>
      <c r="ES20" s="185"/>
      <c r="ET20" s="185"/>
      <c r="EU20" s="185"/>
      <c r="EV20" s="185"/>
      <c r="EW20" s="185"/>
      <c r="EX20" s="185"/>
      <c r="EY20" s="185"/>
      <c r="EZ20" s="185"/>
      <c r="FA20" s="185"/>
      <c r="FB20" s="185"/>
      <c r="FC20" s="185"/>
      <c r="FD20" s="185"/>
    </row>
    <row r="21" spans="1:160" ht="14">
      <c r="A21" s="150" t="s">
        <v>287</v>
      </c>
      <c r="B21" s="151">
        <v>0</v>
      </c>
      <c r="C21" s="151"/>
      <c r="D21" s="151"/>
      <c r="E21" s="151"/>
      <c r="F21" s="151"/>
      <c r="G21" s="151"/>
      <c r="H21" s="151"/>
      <c r="I21" s="151"/>
      <c r="J21" s="151"/>
      <c r="K21" s="151"/>
      <c r="L21" s="151"/>
      <c r="M21" s="151"/>
      <c r="N21" s="152"/>
      <c r="O21" s="150" t="s">
        <v>288</v>
      </c>
      <c r="P21" s="174" t="e">
        <f>#REF!</f>
        <v>#REF!</v>
      </c>
      <c r="Q21" s="174" t="e">
        <f>#REF!</f>
        <v>#REF!</v>
      </c>
      <c r="R21" s="174" t="e">
        <f>#REF!</f>
        <v>#REF!</v>
      </c>
      <c r="S21" s="174" t="e">
        <f>#REF!</f>
        <v>#REF!</v>
      </c>
      <c r="T21" s="174" t="e">
        <f>#REF!</f>
        <v>#REF!</v>
      </c>
      <c r="U21" s="174" t="e">
        <f>#REF!</f>
        <v>#REF!</v>
      </c>
      <c r="V21" s="174" t="e">
        <f>#REF!</f>
        <v>#REF!</v>
      </c>
      <c r="W21" s="174" t="e">
        <f>#REF!</f>
        <v>#REF!</v>
      </c>
      <c r="X21" s="174" t="e">
        <f>#REF!</f>
        <v>#REF!</v>
      </c>
      <c r="Y21" s="174" t="e">
        <f>#REF!</f>
        <v>#REF!</v>
      </c>
      <c r="Z21" s="174" t="e">
        <f>#REF!</f>
        <v>#REF!</v>
      </c>
      <c r="AA21" s="174" t="e">
        <f>#REF!</f>
        <v>#REF!</v>
      </c>
      <c r="AB21" s="311">
        <v>6</v>
      </c>
      <c r="AC21" s="317" t="e">
        <f>#REF!</f>
        <v>#REF!</v>
      </c>
      <c r="AD21" s="317" t="e">
        <f>#REF!</f>
        <v>#REF!</v>
      </c>
      <c r="AE21" s="317" t="e">
        <f>#REF!</f>
        <v>#REF!</v>
      </c>
      <c r="AF21" s="317" t="e">
        <f>#REF!</f>
        <v>#REF!</v>
      </c>
      <c r="AG21" s="317" t="e">
        <f>#REF!</f>
        <v>#REF!</v>
      </c>
      <c r="AH21" s="317" t="e">
        <f>#REF!</f>
        <v>#REF!</v>
      </c>
      <c r="AI21" s="317" t="e">
        <f>#REF!</f>
        <v>#REF!</v>
      </c>
      <c r="AJ21" s="317">
        <v>6</v>
      </c>
      <c r="AK21" s="317" t="e">
        <f>#REF!</f>
        <v>#REF!</v>
      </c>
      <c r="AL21" s="317" t="e">
        <f>#REF!</f>
        <v>#REF!</v>
      </c>
      <c r="AM21" s="317" t="e">
        <f>#REF!</f>
        <v>#REF!</v>
      </c>
      <c r="AN21" s="317" t="e">
        <f>#REF!</f>
        <v>#REF!</v>
      </c>
      <c r="AO21" s="181">
        <v>6</v>
      </c>
      <c r="AP21" s="317" t="e">
        <f>#REF!</f>
        <v>#REF!</v>
      </c>
      <c r="AQ21" s="317" t="e">
        <f>#REF!</f>
        <v>#REF!</v>
      </c>
      <c r="AR21" s="317" t="e">
        <f>#REF!</f>
        <v>#REF!</v>
      </c>
      <c r="AS21" s="317" t="e">
        <f>#REF!</f>
        <v>#REF!</v>
      </c>
      <c r="AT21" s="317" t="e">
        <f>#REF!</f>
        <v>#REF!</v>
      </c>
      <c r="AU21" s="317" t="e">
        <f>#REF!</f>
        <v>#REF!</v>
      </c>
      <c r="AV21" s="310" t="e">
        <f>#REF!</f>
        <v>#REF!</v>
      </c>
      <c r="AW21" s="310" t="e">
        <f>#REF!</f>
        <v>#REF!</v>
      </c>
      <c r="AX21" s="310" t="e">
        <f>#REF!</f>
        <v>#REF!</v>
      </c>
      <c r="AY21" s="310" t="e">
        <f>#REF!</f>
        <v>#REF!</v>
      </c>
      <c r="AZ21" s="310" t="e">
        <f>#REF!</f>
        <v>#REF!</v>
      </c>
      <c r="BA21" s="310" t="e">
        <f>#REF!</f>
        <v>#REF!</v>
      </c>
      <c r="BB21" s="178" t="e">
        <f>#REF!</f>
        <v>#REF!</v>
      </c>
      <c r="BC21" s="310" t="e">
        <f>#REF!</f>
        <v>#REF!</v>
      </c>
      <c r="BD21" s="310" t="e">
        <f>#REF!</f>
        <v>#REF!</v>
      </c>
      <c r="BE21" s="310" t="e">
        <f>#REF!</f>
        <v>#REF!</v>
      </c>
      <c r="BF21" s="310" t="e">
        <f>#REF!</f>
        <v>#REF!</v>
      </c>
      <c r="BG21" s="310" t="e">
        <f>#REF!</f>
        <v>#REF!</v>
      </c>
      <c r="BH21" s="310" t="e">
        <f>#REF!</f>
        <v>#REF!</v>
      </c>
      <c r="BI21" s="310" t="e">
        <f>#REF!</f>
        <v>#REF!</v>
      </c>
      <c r="BJ21" s="310" t="e">
        <f>#REF!</f>
        <v>#REF!</v>
      </c>
      <c r="BK21" s="310" t="e">
        <f>#REF!</f>
        <v>#REF!</v>
      </c>
      <c r="BL21" s="310" t="e">
        <f>#REF!</f>
        <v>#REF!</v>
      </c>
      <c r="BM21" s="310" t="e">
        <f>#REF!</f>
        <v>#REF!</v>
      </c>
      <c r="BN21" s="310" t="e">
        <f>#REF!</f>
        <v>#REF!</v>
      </c>
      <c r="BO21" s="178" t="e">
        <f>#REF!</f>
        <v>#REF!</v>
      </c>
      <c r="BP21" s="310" t="e">
        <f>#REF!+#REF!+#REF!+#REF!+#REF!+#REF!*0.6</f>
        <v>#REF!</v>
      </c>
      <c r="BQ21" s="310" t="e">
        <f>#REF!</f>
        <v>#REF!</v>
      </c>
      <c r="BR21" s="310" t="e">
        <f>#REF!</f>
        <v>#REF!</v>
      </c>
      <c r="BS21" s="310" t="e">
        <f>#REF!</f>
        <v>#REF!</v>
      </c>
      <c r="BT21" s="310" t="e">
        <f>#REF!</f>
        <v>#REF!</v>
      </c>
      <c r="BU21" s="310" t="e">
        <f>#REF!</f>
        <v>#REF!</v>
      </c>
      <c r="BV21" s="310" t="e">
        <f>#REF!</f>
        <v>#REF!</v>
      </c>
      <c r="BW21" s="310" t="e">
        <f>#REF!</f>
        <v>#REF!</v>
      </c>
      <c r="BX21" s="310" t="e">
        <f>#REF!</f>
        <v>#REF!</v>
      </c>
      <c r="BY21" s="310" t="e">
        <f>#REF!</f>
        <v>#REF!</v>
      </c>
      <c r="BZ21" s="310" t="e">
        <f>#REF!</f>
        <v>#REF!</v>
      </c>
      <c r="CA21" s="310" t="e">
        <f>#REF!</f>
        <v>#REF!</v>
      </c>
      <c r="CB21" s="178" t="e">
        <f>#REF!</f>
        <v>#REF!</v>
      </c>
      <c r="CC21" s="321">
        <v>1</v>
      </c>
      <c r="CD21" s="321">
        <v>1</v>
      </c>
      <c r="CE21" s="321">
        <v>1</v>
      </c>
      <c r="CF21" s="321">
        <v>1</v>
      </c>
      <c r="CG21" s="321">
        <v>1</v>
      </c>
      <c r="CH21" s="321">
        <v>1</v>
      </c>
      <c r="CI21" s="321">
        <v>1</v>
      </c>
      <c r="CJ21" s="321">
        <v>1</v>
      </c>
      <c r="CK21" s="321">
        <v>1</v>
      </c>
      <c r="CL21" s="321">
        <v>1</v>
      </c>
      <c r="CM21" s="321">
        <v>1</v>
      </c>
      <c r="CN21" s="321">
        <v>1</v>
      </c>
      <c r="CO21" s="322">
        <f t="shared" si="78"/>
        <v>1</v>
      </c>
      <c r="CP21" s="185"/>
      <c r="CQ21" s="185"/>
      <c r="CR21" s="185"/>
      <c r="CS21" s="185"/>
      <c r="CT21" s="185"/>
      <c r="CU21" s="185"/>
      <c r="CV21" s="185"/>
      <c r="CW21" s="185"/>
      <c r="CX21" s="185"/>
      <c r="CY21" s="185"/>
      <c r="CZ21" s="185"/>
      <c r="DA21" s="185"/>
      <c r="DB21" s="185"/>
      <c r="DC21" s="185"/>
      <c r="DD21" s="185"/>
      <c r="DE21" s="185"/>
      <c r="DF21" s="185"/>
      <c r="DG21" s="185"/>
      <c r="DH21" s="185"/>
      <c r="DI21" s="185"/>
      <c r="DJ21" s="185"/>
      <c r="DK21" s="185"/>
      <c r="DL21" s="185"/>
      <c r="DM21" s="185"/>
      <c r="DN21" s="185"/>
      <c r="DO21" s="185"/>
      <c r="DP21" s="185"/>
      <c r="DQ21" s="185"/>
      <c r="DR21" s="185"/>
      <c r="DS21" s="185"/>
      <c r="DT21" s="185"/>
      <c r="DU21" s="185"/>
      <c r="DV21" s="185"/>
      <c r="DW21" s="185"/>
      <c r="DX21" s="185"/>
      <c r="DY21" s="185"/>
      <c r="DZ21" s="185"/>
      <c r="EA21" s="185"/>
      <c r="EB21" s="185"/>
      <c r="EC21" s="185"/>
      <c r="ED21" s="185"/>
      <c r="EE21" s="185"/>
      <c r="EF21" s="185"/>
      <c r="EG21" s="185"/>
      <c r="EH21" s="185"/>
      <c r="EI21" s="185"/>
      <c r="EJ21" s="185"/>
      <c r="EK21" s="185"/>
      <c r="EL21" s="185"/>
      <c r="EM21" s="185"/>
      <c r="EN21" s="185"/>
      <c r="EO21" s="185"/>
      <c r="EP21" s="185"/>
      <c r="EQ21" s="185"/>
      <c r="ER21" s="185"/>
      <c r="ES21" s="185"/>
      <c r="ET21" s="185"/>
      <c r="EU21" s="185"/>
      <c r="EV21" s="185"/>
      <c r="EW21" s="185"/>
      <c r="EX21" s="185"/>
      <c r="EY21" s="185"/>
      <c r="EZ21" s="185"/>
      <c r="FA21" s="185"/>
      <c r="FB21" s="185"/>
      <c r="FC21" s="185"/>
      <c r="FD21" s="185"/>
    </row>
    <row r="22" spans="1:160" ht="14">
      <c r="A22" s="296" t="s">
        <v>289</v>
      </c>
      <c r="B22" s="167"/>
      <c r="C22" s="167"/>
      <c r="D22" s="167"/>
      <c r="E22" s="167"/>
      <c r="F22" s="167"/>
      <c r="G22" s="167"/>
      <c r="H22" s="167"/>
      <c r="I22" s="167">
        <v>1</v>
      </c>
      <c r="J22" s="167">
        <v>1</v>
      </c>
      <c r="K22" s="167">
        <v>1</v>
      </c>
      <c r="L22" s="167">
        <v>1</v>
      </c>
      <c r="M22" s="167">
        <v>1</v>
      </c>
      <c r="N22" s="168"/>
      <c r="O22" s="296"/>
      <c r="P22" s="203"/>
      <c r="Q22" s="203"/>
      <c r="R22" s="203"/>
      <c r="S22" s="203"/>
      <c r="T22" s="203"/>
      <c r="U22" s="203"/>
      <c r="V22" s="203"/>
      <c r="W22" s="203"/>
      <c r="X22" s="203"/>
      <c r="Y22" s="203"/>
      <c r="Z22" s="203"/>
      <c r="AA22" s="203"/>
      <c r="AB22" s="308"/>
      <c r="AC22" s="319"/>
      <c r="AD22" s="319"/>
      <c r="AE22" s="319"/>
      <c r="AF22" s="319"/>
      <c r="AG22" s="319"/>
      <c r="AH22" s="319"/>
      <c r="AI22" s="319"/>
      <c r="AJ22" s="319"/>
      <c r="AK22" s="319"/>
      <c r="AL22" s="319"/>
      <c r="AM22" s="319"/>
      <c r="AN22" s="319"/>
      <c r="AO22" s="308"/>
      <c r="AP22" s="319"/>
      <c r="AQ22" s="319"/>
      <c r="AR22" s="319"/>
      <c r="AS22" s="319"/>
      <c r="AT22" s="319"/>
      <c r="AU22" s="319"/>
      <c r="AV22" s="319"/>
      <c r="AW22" s="319"/>
      <c r="AX22" s="319"/>
      <c r="AY22" s="319"/>
      <c r="AZ22" s="319"/>
      <c r="BA22" s="319"/>
      <c r="BB22" s="320"/>
      <c r="BC22" s="319"/>
      <c r="BD22" s="319"/>
      <c r="BE22" s="319"/>
      <c r="BF22" s="319"/>
      <c r="BG22" s="319"/>
      <c r="BH22" s="319"/>
      <c r="BI22" s="319"/>
      <c r="BJ22" s="319"/>
      <c r="BK22" s="319"/>
      <c r="BL22" s="319"/>
      <c r="BM22" s="319"/>
      <c r="BN22" s="319"/>
      <c r="BO22" s="320"/>
      <c r="BP22" s="319" t="e">
        <f>#REF!-'Cal pres plataformas'!#REF!</f>
        <v>#REF!</v>
      </c>
      <c r="BQ22" s="319"/>
      <c r="BR22" s="319"/>
      <c r="BS22" s="319"/>
      <c r="BT22" s="319"/>
      <c r="BU22" s="319"/>
      <c r="BV22" s="319"/>
      <c r="BW22" s="319"/>
      <c r="BX22" s="319"/>
      <c r="BY22" s="319"/>
      <c r="BZ22" s="319"/>
      <c r="CA22" s="319"/>
      <c r="CB22" s="195"/>
      <c r="CC22" s="319">
        <v>1</v>
      </c>
      <c r="CD22" s="319">
        <v>1</v>
      </c>
      <c r="CE22" s="319">
        <v>1</v>
      </c>
      <c r="CF22" s="319">
        <v>1</v>
      </c>
      <c r="CG22" s="319">
        <v>1</v>
      </c>
      <c r="CH22" s="319">
        <v>1</v>
      </c>
      <c r="CI22" s="319">
        <v>1</v>
      </c>
      <c r="CJ22" s="319">
        <v>1</v>
      </c>
      <c r="CK22" s="319">
        <v>1</v>
      </c>
      <c r="CL22" s="319">
        <v>1</v>
      </c>
      <c r="CM22" s="319">
        <v>1</v>
      </c>
      <c r="CN22" s="319">
        <v>1</v>
      </c>
      <c r="CO22" s="195">
        <f t="shared" si="78"/>
        <v>1</v>
      </c>
      <c r="CP22" s="185"/>
      <c r="CQ22" s="185"/>
      <c r="CR22" s="185"/>
      <c r="CS22" s="185"/>
      <c r="CT22" s="185"/>
      <c r="CU22" s="185"/>
      <c r="CV22" s="185"/>
      <c r="CW22" s="185"/>
      <c r="CX22" s="185"/>
      <c r="CY22" s="185"/>
      <c r="CZ22" s="185"/>
      <c r="DA22" s="185"/>
      <c r="DB22" s="185"/>
      <c r="DC22" s="185"/>
      <c r="DD22" s="185"/>
      <c r="DE22" s="185"/>
      <c r="DF22" s="185"/>
      <c r="DG22" s="185"/>
      <c r="DH22" s="185"/>
      <c r="DI22" s="185"/>
      <c r="DJ22" s="185"/>
      <c r="DK22" s="185"/>
      <c r="DL22" s="185"/>
      <c r="DM22" s="185"/>
      <c r="DN22" s="185"/>
      <c r="DO22" s="185"/>
      <c r="DP22" s="185"/>
      <c r="DQ22" s="185"/>
      <c r="DR22" s="185"/>
      <c r="DS22" s="185"/>
      <c r="DT22" s="185"/>
      <c r="DU22" s="185"/>
      <c r="DV22" s="185"/>
      <c r="DW22" s="185"/>
      <c r="DX22" s="185"/>
      <c r="DY22" s="185"/>
      <c r="DZ22" s="185"/>
      <c r="EA22" s="185"/>
      <c r="EB22" s="185"/>
      <c r="EC22" s="185"/>
      <c r="ED22" s="185"/>
      <c r="EE22" s="185"/>
      <c r="EF22" s="185"/>
      <c r="EG22" s="185"/>
      <c r="EH22" s="185"/>
      <c r="EI22" s="185"/>
      <c r="EJ22" s="185"/>
      <c r="EK22" s="185"/>
      <c r="EL22" s="185"/>
      <c r="EM22" s="185"/>
      <c r="EN22" s="185"/>
      <c r="EO22" s="185"/>
      <c r="EP22" s="185"/>
      <c r="EQ22" s="185"/>
      <c r="ER22" s="185"/>
      <c r="ES22" s="185"/>
      <c r="ET22" s="185"/>
      <c r="EU22" s="185"/>
      <c r="EV22" s="185"/>
      <c r="EW22" s="185"/>
      <c r="EX22" s="185"/>
      <c r="EY22" s="185"/>
      <c r="EZ22" s="185"/>
      <c r="FA22" s="185"/>
      <c r="FB22" s="185"/>
      <c r="FC22" s="185"/>
      <c r="FD22" s="185"/>
    </row>
    <row r="23" spans="1:160" ht="14">
      <c r="A23" s="150"/>
      <c r="B23" s="151"/>
      <c r="C23" s="151"/>
      <c r="D23" s="151"/>
      <c r="E23" s="151"/>
      <c r="F23" s="151"/>
      <c r="G23" s="151"/>
      <c r="H23" s="151"/>
      <c r="I23" s="151">
        <v>1</v>
      </c>
      <c r="J23" s="151">
        <v>1</v>
      </c>
      <c r="K23" s="151">
        <v>1</v>
      </c>
      <c r="L23" s="151">
        <v>1</v>
      </c>
      <c r="M23" s="151">
        <v>1</v>
      </c>
      <c r="N23" s="152"/>
      <c r="O23" s="150"/>
      <c r="P23" s="174"/>
      <c r="Q23" s="174"/>
      <c r="R23" s="174"/>
      <c r="S23" s="174"/>
      <c r="T23" s="174"/>
      <c r="U23" s="174"/>
      <c r="V23" s="174"/>
      <c r="W23" s="310"/>
      <c r="X23" s="174"/>
      <c r="Y23" s="174"/>
      <c r="Z23" s="174"/>
      <c r="AA23" s="174"/>
      <c r="AB23" s="311"/>
      <c r="AC23" s="317"/>
      <c r="AD23" s="317"/>
      <c r="AE23" s="317"/>
      <c r="AF23" s="317"/>
      <c r="AG23" s="317"/>
      <c r="AH23" s="317"/>
      <c r="AI23" s="317"/>
      <c r="AJ23" s="317"/>
      <c r="AK23" s="317"/>
      <c r="AL23" s="317"/>
      <c r="AM23" s="317"/>
      <c r="AN23" s="317"/>
      <c r="AO23" s="181"/>
      <c r="AP23" s="317"/>
      <c r="AQ23" s="317"/>
      <c r="AR23" s="317"/>
      <c r="AS23" s="317"/>
      <c r="AT23" s="317"/>
      <c r="AU23" s="317"/>
      <c r="AV23" s="310"/>
      <c r="AW23" s="310"/>
      <c r="AX23" s="310"/>
      <c r="AY23" s="310"/>
      <c r="AZ23" s="310"/>
      <c r="BA23" s="310"/>
      <c r="BB23" s="318"/>
      <c r="BC23" s="310"/>
      <c r="BD23" s="310"/>
      <c r="BE23" s="310"/>
      <c r="BF23" s="310"/>
      <c r="BG23" s="310"/>
      <c r="BH23" s="310"/>
      <c r="BI23" s="310"/>
      <c r="BJ23" s="310"/>
      <c r="BK23" s="310"/>
      <c r="BL23" s="310"/>
      <c r="BM23" s="310"/>
      <c r="BN23" s="310"/>
      <c r="BO23" s="318"/>
      <c r="BP23" s="310" t="e">
        <f>#REF!-'Cal pres plataformas'!BP21</f>
        <v>#REF!</v>
      </c>
      <c r="BQ23" s="310"/>
      <c r="BR23" s="310"/>
      <c r="BS23" s="310"/>
      <c r="BT23" s="310"/>
      <c r="BU23" s="310"/>
      <c r="BV23" s="310"/>
      <c r="BW23" s="310"/>
      <c r="BX23" s="310"/>
      <c r="BY23" s="310"/>
      <c r="BZ23" s="310"/>
      <c r="CA23" s="310"/>
      <c r="CB23" s="318"/>
      <c r="CC23" s="310"/>
      <c r="CD23" s="310"/>
      <c r="CE23" s="310"/>
      <c r="CF23" s="310"/>
      <c r="CG23" s="310"/>
      <c r="CH23" s="310"/>
      <c r="CI23" s="310"/>
      <c r="CJ23" s="310"/>
      <c r="CK23" s="310"/>
      <c r="CL23" s="310"/>
      <c r="CM23" s="310"/>
      <c r="CN23" s="310"/>
      <c r="CO23" s="318"/>
      <c r="CP23" s="185"/>
      <c r="CQ23" s="185"/>
      <c r="CR23" s="185"/>
      <c r="CS23" s="185"/>
      <c r="CT23" s="185"/>
      <c r="CU23" s="185"/>
      <c r="CV23" s="185"/>
      <c r="CW23" s="185"/>
      <c r="CX23" s="185"/>
      <c r="CY23" s="185"/>
      <c r="CZ23" s="185"/>
      <c r="DA23" s="185"/>
      <c r="DB23" s="185"/>
      <c r="DC23" s="185"/>
      <c r="DD23" s="185"/>
      <c r="DE23" s="185"/>
      <c r="DF23" s="185"/>
      <c r="DG23" s="185"/>
      <c r="DH23" s="185"/>
      <c r="DI23" s="185"/>
      <c r="DJ23" s="185"/>
      <c r="DK23" s="185"/>
      <c r="DL23" s="185"/>
      <c r="DM23" s="185"/>
      <c r="DN23" s="185"/>
      <c r="DO23" s="185"/>
      <c r="DP23" s="185"/>
      <c r="DQ23" s="185"/>
      <c r="DR23" s="185"/>
      <c r="DS23" s="185"/>
      <c r="DT23" s="185"/>
      <c r="DU23" s="185"/>
      <c r="DV23" s="185"/>
      <c r="DW23" s="185"/>
      <c r="DX23" s="185"/>
      <c r="DY23" s="185"/>
      <c r="DZ23" s="185"/>
      <c r="EA23" s="185"/>
      <c r="EB23" s="185"/>
      <c r="EC23" s="185"/>
      <c r="ED23" s="185"/>
      <c r="EE23" s="185"/>
      <c r="EF23" s="185"/>
      <c r="EG23" s="185"/>
      <c r="EH23" s="185"/>
      <c r="EI23" s="185"/>
      <c r="EJ23" s="185"/>
      <c r="EK23" s="185"/>
      <c r="EL23" s="185"/>
      <c r="EM23" s="185"/>
      <c r="EN23" s="185"/>
      <c r="EO23" s="185"/>
      <c r="EP23" s="185"/>
      <c r="EQ23" s="185"/>
      <c r="ER23" s="185"/>
      <c r="ES23" s="185"/>
      <c r="ET23" s="185"/>
      <c r="EU23" s="185"/>
      <c r="EV23" s="185"/>
      <c r="EW23" s="185"/>
      <c r="EX23" s="185"/>
      <c r="EY23" s="185"/>
      <c r="EZ23" s="185"/>
      <c r="FA23" s="185"/>
      <c r="FB23" s="185"/>
      <c r="FC23" s="185"/>
      <c r="FD23" s="185"/>
    </row>
    <row r="24" spans="1:160" ht="14">
      <c r="A24" s="296"/>
      <c r="B24" s="167"/>
      <c r="C24" s="167"/>
      <c r="D24" s="167"/>
      <c r="E24" s="167"/>
      <c r="F24" s="167"/>
      <c r="G24" s="167"/>
      <c r="H24" s="167"/>
      <c r="I24" s="167"/>
      <c r="J24" s="167"/>
      <c r="K24" s="167"/>
      <c r="L24" s="167"/>
      <c r="M24" s="167"/>
      <c r="N24" s="168"/>
      <c r="O24" s="296"/>
      <c r="P24" s="203"/>
      <c r="Q24" s="203"/>
      <c r="R24" s="203"/>
      <c r="S24" s="203"/>
      <c r="T24" s="203"/>
      <c r="U24" s="203"/>
      <c r="V24" s="203"/>
      <c r="W24" s="203"/>
      <c r="X24" s="203"/>
      <c r="Y24" s="203"/>
      <c r="Z24" s="203"/>
      <c r="AA24" s="203"/>
      <c r="AB24" s="308"/>
      <c r="AC24" s="319"/>
      <c r="AD24" s="319"/>
      <c r="AE24" s="319"/>
      <c r="AF24" s="319"/>
      <c r="AG24" s="319"/>
      <c r="AH24" s="319"/>
      <c r="AI24" s="319"/>
      <c r="AJ24" s="319"/>
      <c r="AK24" s="319"/>
      <c r="AL24" s="319"/>
      <c r="AM24" s="319"/>
      <c r="AN24" s="319"/>
      <c r="AO24" s="308"/>
      <c r="AP24" s="319"/>
      <c r="AQ24" s="319"/>
      <c r="AR24" s="319"/>
      <c r="AS24" s="319"/>
      <c r="AT24" s="319"/>
      <c r="AU24" s="319"/>
      <c r="AV24" s="319"/>
      <c r="AW24" s="319"/>
      <c r="AX24" s="319"/>
      <c r="AY24" s="319"/>
      <c r="AZ24" s="319"/>
      <c r="BA24" s="319"/>
      <c r="BB24" s="320"/>
      <c r="BC24" s="319"/>
      <c r="BD24" s="319"/>
      <c r="BE24" s="319"/>
      <c r="BF24" s="319"/>
      <c r="BG24" s="319"/>
      <c r="BH24" s="319"/>
      <c r="BI24" s="319"/>
      <c r="BJ24" s="319"/>
      <c r="BK24" s="319"/>
      <c r="BL24" s="319"/>
      <c r="BM24" s="319"/>
      <c r="BN24" s="319"/>
      <c r="BO24" s="320"/>
      <c r="BP24" s="319"/>
      <c r="BQ24" s="319"/>
      <c r="BR24" s="319"/>
      <c r="BS24" s="319"/>
      <c r="BT24" s="319"/>
      <c r="BU24" s="319"/>
      <c r="BV24" s="319"/>
      <c r="BW24" s="319"/>
      <c r="BX24" s="319"/>
      <c r="BY24" s="319"/>
      <c r="BZ24" s="319"/>
      <c r="CA24" s="319"/>
      <c r="CB24" s="195"/>
      <c r="CC24" s="319"/>
      <c r="CD24" s="319"/>
      <c r="CE24" s="319"/>
      <c r="CF24" s="319"/>
      <c r="CG24" s="319"/>
      <c r="CH24" s="319"/>
      <c r="CI24" s="319"/>
      <c r="CJ24" s="319"/>
      <c r="CK24" s="319"/>
      <c r="CL24" s="319"/>
      <c r="CM24" s="319"/>
      <c r="CN24" s="319"/>
      <c r="CO24" s="195">
        <f>CN24</f>
        <v>0</v>
      </c>
      <c r="CP24" s="185"/>
      <c r="CQ24" s="185"/>
      <c r="CR24" s="185"/>
      <c r="CS24" s="185"/>
      <c r="CT24" s="185"/>
      <c r="CU24" s="185"/>
      <c r="CV24" s="185"/>
      <c r="CW24" s="185"/>
      <c r="CX24" s="185"/>
      <c r="CY24" s="185"/>
      <c r="CZ24" s="185"/>
      <c r="DA24" s="185"/>
      <c r="DB24" s="185"/>
      <c r="DC24" s="185"/>
      <c r="DD24" s="185"/>
      <c r="DE24" s="185"/>
      <c r="DF24" s="185"/>
      <c r="DG24" s="185"/>
      <c r="DH24" s="185"/>
      <c r="DI24" s="185"/>
      <c r="DJ24" s="185"/>
      <c r="DK24" s="185"/>
      <c r="DL24" s="185"/>
      <c r="DM24" s="185"/>
      <c r="DN24" s="185"/>
      <c r="DO24" s="185"/>
      <c r="DP24" s="185"/>
      <c r="DQ24" s="185"/>
      <c r="DR24" s="185"/>
      <c r="DS24" s="185"/>
      <c r="DT24" s="185"/>
      <c r="DU24" s="185"/>
      <c r="DV24" s="185"/>
      <c r="DW24" s="185"/>
      <c r="DX24" s="185"/>
      <c r="DY24" s="185"/>
      <c r="DZ24" s="185"/>
      <c r="EA24" s="185"/>
      <c r="EB24" s="185"/>
      <c r="EC24" s="185"/>
      <c r="ED24" s="185"/>
      <c r="EE24" s="185"/>
      <c r="EF24" s="185"/>
      <c r="EG24" s="185"/>
      <c r="EH24" s="185"/>
      <c r="EI24" s="185"/>
      <c r="EJ24" s="185"/>
      <c r="EK24" s="185"/>
      <c r="EL24" s="185"/>
      <c r="EM24" s="185"/>
      <c r="EN24" s="185"/>
      <c r="EO24" s="185"/>
      <c r="EP24" s="185"/>
      <c r="EQ24" s="185"/>
      <c r="ER24" s="185"/>
      <c r="ES24" s="185"/>
      <c r="ET24" s="185"/>
      <c r="EU24" s="185"/>
      <c r="EV24" s="185"/>
      <c r="EW24" s="185"/>
      <c r="EX24" s="185"/>
      <c r="EY24" s="185"/>
      <c r="EZ24" s="185"/>
      <c r="FA24" s="185"/>
      <c r="FB24" s="185"/>
      <c r="FC24" s="185"/>
      <c r="FD24" s="185"/>
    </row>
    <row r="25" spans="1:160" ht="14">
      <c r="A25" s="150"/>
      <c r="B25" s="151"/>
      <c r="C25" s="151"/>
      <c r="D25" s="151"/>
      <c r="E25" s="151"/>
      <c r="F25" s="151"/>
      <c r="G25" s="151"/>
      <c r="H25" s="151"/>
      <c r="I25" s="151"/>
      <c r="J25" s="151"/>
      <c r="K25" s="151">
        <v>1</v>
      </c>
      <c r="L25" s="151">
        <v>1</v>
      </c>
      <c r="M25" s="151">
        <v>1</v>
      </c>
      <c r="N25" s="152"/>
      <c r="O25" s="150"/>
      <c r="P25" s="174"/>
      <c r="Q25" s="174"/>
      <c r="R25" s="174"/>
      <c r="S25" s="174"/>
      <c r="T25" s="174"/>
      <c r="U25" s="174"/>
      <c r="V25" s="174"/>
      <c r="W25" s="310"/>
      <c r="X25" s="174"/>
      <c r="Y25" s="174"/>
      <c r="Z25" s="174"/>
      <c r="AA25" s="174"/>
      <c r="AB25" s="311">
        <v>1</v>
      </c>
      <c r="AC25" s="317"/>
      <c r="AD25" s="317"/>
      <c r="AE25" s="317"/>
      <c r="AF25" s="317"/>
      <c r="AG25" s="317"/>
      <c r="AH25" s="317"/>
      <c r="AI25" s="317"/>
      <c r="AJ25" s="317"/>
      <c r="AK25" s="317"/>
      <c r="AL25" s="317"/>
      <c r="AM25" s="317"/>
      <c r="AN25" s="317"/>
      <c r="AO25" s="181"/>
      <c r="AP25" s="317"/>
      <c r="AQ25" s="317"/>
      <c r="AR25" s="317"/>
      <c r="AS25" s="317"/>
      <c r="AT25" s="317"/>
      <c r="AU25" s="317"/>
      <c r="AV25" s="310"/>
      <c r="AW25" s="310"/>
      <c r="AX25" s="310"/>
      <c r="AY25" s="310"/>
      <c r="AZ25" s="310"/>
      <c r="BA25" s="310"/>
      <c r="BB25" s="318"/>
      <c r="BC25" s="310"/>
      <c r="BD25" s="310"/>
      <c r="BE25" s="310"/>
      <c r="BF25" s="310"/>
      <c r="BG25" s="310"/>
      <c r="BH25" s="310"/>
      <c r="BI25" s="310"/>
      <c r="BJ25" s="310"/>
      <c r="BK25" s="310"/>
      <c r="BL25" s="310"/>
      <c r="BM25" s="310"/>
      <c r="BN25" s="310"/>
      <c r="BO25" s="318"/>
      <c r="BP25" s="310"/>
      <c r="BQ25" s="310"/>
      <c r="BR25" s="310"/>
      <c r="BS25" s="310"/>
      <c r="BT25" s="310"/>
      <c r="BU25" s="310"/>
      <c r="BV25" s="310"/>
      <c r="BW25" s="310"/>
      <c r="BX25" s="310"/>
      <c r="BY25" s="310"/>
      <c r="BZ25" s="310"/>
      <c r="CA25" s="310"/>
      <c r="CB25" s="318"/>
      <c r="CC25" s="310"/>
      <c r="CD25" s="310"/>
      <c r="CE25" s="310"/>
      <c r="CF25" s="310"/>
      <c r="CG25" s="310"/>
      <c r="CH25" s="310"/>
      <c r="CI25" s="310"/>
      <c r="CJ25" s="310"/>
      <c r="CK25" s="310"/>
      <c r="CL25" s="310"/>
      <c r="CM25" s="310"/>
      <c r="CN25" s="310"/>
      <c r="CO25" s="318"/>
      <c r="CP25" s="185"/>
      <c r="CQ25" s="185"/>
      <c r="CR25" s="185"/>
      <c r="CS25" s="185"/>
      <c r="CT25" s="185"/>
      <c r="CU25" s="185"/>
      <c r="CV25" s="185"/>
      <c r="CW25" s="185"/>
      <c r="CX25" s="185"/>
      <c r="CY25" s="185"/>
      <c r="CZ25" s="185"/>
      <c r="DA25" s="185"/>
      <c r="DB25" s="185"/>
      <c r="DC25" s="185"/>
      <c r="DD25" s="185"/>
      <c r="DE25" s="185"/>
      <c r="DF25" s="185"/>
      <c r="DG25" s="185"/>
      <c r="DH25" s="185"/>
      <c r="DI25" s="185"/>
      <c r="DJ25" s="185"/>
      <c r="DK25" s="185"/>
      <c r="DL25" s="185"/>
      <c r="DM25" s="185"/>
      <c r="DN25" s="185"/>
      <c r="DO25" s="185"/>
      <c r="DP25" s="185"/>
      <c r="DQ25" s="185"/>
      <c r="DR25" s="185"/>
      <c r="DS25" s="185"/>
      <c r="DT25" s="185"/>
      <c r="DU25" s="185"/>
      <c r="DV25" s="185"/>
      <c r="DW25" s="185"/>
      <c r="DX25" s="185"/>
      <c r="DY25" s="185"/>
      <c r="DZ25" s="185"/>
      <c r="EA25" s="185"/>
      <c r="EB25" s="185"/>
      <c r="EC25" s="185"/>
      <c r="ED25" s="185"/>
      <c r="EE25" s="185"/>
      <c r="EF25" s="185"/>
      <c r="EG25" s="185"/>
      <c r="EH25" s="185"/>
      <c r="EI25" s="185"/>
      <c r="EJ25" s="185"/>
      <c r="EK25" s="185"/>
      <c r="EL25" s="185"/>
      <c r="EM25" s="185"/>
      <c r="EN25" s="185"/>
      <c r="EO25" s="185"/>
      <c r="EP25" s="185"/>
      <c r="EQ25" s="185"/>
      <c r="ER25" s="185"/>
      <c r="ES25" s="185"/>
      <c r="ET25" s="185"/>
      <c r="EU25" s="185"/>
      <c r="EV25" s="185"/>
      <c r="EW25" s="185"/>
      <c r="EX25" s="185"/>
      <c r="EY25" s="185"/>
      <c r="EZ25" s="185"/>
      <c r="FA25" s="185"/>
      <c r="FB25" s="185"/>
      <c r="FC25" s="185"/>
      <c r="FD25" s="185"/>
    </row>
    <row r="26" spans="1:160" ht="14">
      <c r="A26" s="296"/>
      <c r="B26" s="167">
        <v>1</v>
      </c>
      <c r="C26" s="167">
        <v>1</v>
      </c>
      <c r="D26" s="167">
        <v>1</v>
      </c>
      <c r="E26" s="167">
        <v>1</v>
      </c>
      <c r="F26" s="167">
        <v>1</v>
      </c>
      <c r="G26" s="167">
        <v>1</v>
      </c>
      <c r="H26" s="167">
        <v>1</v>
      </c>
      <c r="I26" s="167">
        <v>1</v>
      </c>
      <c r="J26" s="167">
        <v>1</v>
      </c>
      <c r="K26" s="167">
        <v>1</v>
      </c>
      <c r="L26" s="167">
        <v>1</v>
      </c>
      <c r="M26" s="167">
        <v>1</v>
      </c>
      <c r="N26" s="168"/>
      <c r="O26" s="296"/>
      <c r="P26" s="203"/>
      <c r="Q26" s="203"/>
      <c r="R26" s="203"/>
      <c r="S26" s="203"/>
      <c r="T26" s="203"/>
      <c r="U26" s="203"/>
      <c r="V26" s="203"/>
      <c r="W26" s="203"/>
      <c r="X26" s="203"/>
      <c r="Y26" s="203"/>
      <c r="Z26" s="203"/>
      <c r="AA26" s="203"/>
      <c r="AB26" s="308">
        <v>1</v>
      </c>
      <c r="AC26" s="319"/>
      <c r="AD26" s="319"/>
      <c r="AE26" s="319"/>
      <c r="AF26" s="319"/>
      <c r="AG26" s="319"/>
      <c r="AH26" s="319"/>
      <c r="AI26" s="319"/>
      <c r="AJ26" s="319"/>
      <c r="AK26" s="319"/>
      <c r="AL26" s="319"/>
      <c r="AM26" s="319"/>
      <c r="AN26" s="319"/>
      <c r="AO26" s="308"/>
      <c r="AP26" s="319"/>
      <c r="AQ26" s="319"/>
      <c r="AR26" s="319"/>
      <c r="AS26" s="319"/>
      <c r="AT26" s="319"/>
      <c r="AU26" s="319"/>
      <c r="AV26" s="319"/>
      <c r="AW26" s="319"/>
      <c r="AX26" s="319"/>
      <c r="AY26" s="319"/>
      <c r="AZ26" s="319"/>
      <c r="BA26" s="319"/>
      <c r="BB26" s="320"/>
      <c r="BC26" s="319"/>
      <c r="BD26" s="319"/>
      <c r="BE26" s="319"/>
      <c r="BF26" s="319"/>
      <c r="BG26" s="319"/>
      <c r="BH26" s="319"/>
      <c r="BI26" s="319"/>
      <c r="BJ26" s="319"/>
      <c r="BK26" s="319"/>
      <c r="BL26" s="319"/>
      <c r="BM26" s="319"/>
      <c r="BN26" s="319"/>
      <c r="BO26" s="320"/>
      <c r="BP26" s="319"/>
      <c r="BQ26" s="319"/>
      <c r="BR26" s="319"/>
      <c r="BS26" s="319"/>
      <c r="BT26" s="319"/>
      <c r="BU26" s="319"/>
      <c r="BV26" s="319"/>
      <c r="BW26" s="319"/>
      <c r="BX26" s="319"/>
      <c r="BY26" s="319"/>
      <c r="BZ26" s="319"/>
      <c r="CA26" s="319"/>
      <c r="CB26" s="195"/>
      <c r="CC26" s="319"/>
      <c r="CD26" s="319"/>
      <c r="CE26" s="319"/>
      <c r="CF26" s="319"/>
      <c r="CG26" s="319"/>
      <c r="CH26" s="319"/>
      <c r="CI26" s="319"/>
      <c r="CJ26" s="319"/>
      <c r="CK26" s="319"/>
      <c r="CL26" s="319"/>
      <c r="CM26" s="319"/>
      <c r="CN26" s="319"/>
      <c r="CO26" s="19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V26" s="185"/>
      <c r="DW26" s="185"/>
      <c r="DX26" s="185"/>
      <c r="DY26" s="185"/>
      <c r="DZ26" s="185"/>
      <c r="EA26" s="185"/>
      <c r="EB26" s="185"/>
      <c r="EC26" s="185"/>
      <c r="ED26" s="185"/>
      <c r="EE26" s="185"/>
      <c r="EF26" s="185"/>
      <c r="EG26" s="185"/>
      <c r="EH26" s="185"/>
      <c r="EI26" s="185"/>
      <c r="EJ26" s="185"/>
      <c r="EK26" s="185"/>
      <c r="EL26" s="185"/>
      <c r="EM26" s="185"/>
      <c r="EN26" s="185"/>
      <c r="EO26" s="185"/>
      <c r="EP26" s="185"/>
      <c r="EQ26" s="185"/>
      <c r="ER26" s="185"/>
      <c r="ES26" s="185"/>
      <c r="ET26" s="185"/>
      <c r="EU26" s="185"/>
      <c r="EV26" s="185"/>
      <c r="EW26" s="185"/>
      <c r="EX26" s="185"/>
      <c r="EY26" s="185"/>
      <c r="EZ26" s="185"/>
      <c r="FA26" s="185"/>
      <c r="FB26" s="185"/>
      <c r="FC26" s="185"/>
      <c r="FD26" s="185"/>
    </row>
    <row r="27" spans="1:160" ht="14">
      <c r="A27" s="204" t="s">
        <v>290</v>
      </c>
      <c r="B27" s="298">
        <v>2</v>
      </c>
      <c r="C27" s="298">
        <v>2</v>
      </c>
      <c r="D27" s="298">
        <v>2</v>
      </c>
      <c r="E27" s="298">
        <v>2</v>
      </c>
      <c r="F27" s="298">
        <v>2</v>
      </c>
      <c r="G27" s="298">
        <v>2</v>
      </c>
      <c r="H27" s="298">
        <v>2</v>
      </c>
      <c r="I27" s="298">
        <v>2</v>
      </c>
      <c r="J27" s="298">
        <v>2</v>
      </c>
      <c r="K27" s="298">
        <v>2</v>
      </c>
      <c r="L27" s="298">
        <v>2</v>
      </c>
      <c r="M27" s="298">
        <v>2</v>
      </c>
      <c r="N27" s="205"/>
      <c r="O27" s="204" t="s">
        <v>291</v>
      </c>
      <c r="P27" s="323"/>
      <c r="Q27" s="324"/>
      <c r="R27" s="324"/>
      <c r="S27" s="324"/>
      <c r="T27" s="324"/>
      <c r="U27" s="324"/>
      <c r="V27" s="324"/>
      <c r="W27" s="324"/>
      <c r="X27" s="324"/>
      <c r="Y27" s="324"/>
      <c r="Z27" s="324"/>
      <c r="AA27" s="325">
        <v>0</v>
      </c>
      <c r="AB27" s="326">
        <v>2</v>
      </c>
      <c r="AC27" s="309"/>
      <c r="AD27" s="309"/>
      <c r="AE27" s="309"/>
      <c r="AF27" s="309"/>
      <c r="AG27" s="309"/>
      <c r="AH27" s="309"/>
      <c r="AI27" s="309"/>
      <c r="AJ27" s="309"/>
      <c r="AK27" s="309"/>
      <c r="AL27" s="309"/>
      <c r="AM27" s="309"/>
      <c r="AN27" s="309"/>
      <c r="AO27" s="326"/>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c r="CH27" s="309"/>
      <c r="CI27" s="309"/>
      <c r="CJ27" s="309"/>
      <c r="CK27" s="309"/>
      <c r="CL27" s="309"/>
      <c r="CM27" s="309"/>
      <c r="CN27" s="309"/>
      <c r="CO27" s="309"/>
      <c r="CP27" s="309"/>
      <c r="CQ27" s="309"/>
      <c r="CR27" s="309"/>
      <c r="CS27" s="309"/>
      <c r="CT27" s="309"/>
      <c r="CU27" s="309"/>
      <c r="CV27" s="309"/>
      <c r="CW27" s="309"/>
      <c r="CX27" s="309"/>
      <c r="CY27" s="309"/>
      <c r="CZ27" s="309"/>
      <c r="DA27" s="309"/>
      <c r="DB27" s="309"/>
      <c r="DC27" s="309"/>
      <c r="DD27" s="309"/>
      <c r="DE27" s="309"/>
      <c r="DF27" s="309"/>
      <c r="DG27" s="309"/>
      <c r="DH27" s="309"/>
      <c r="DI27" s="309"/>
      <c r="DJ27" s="309"/>
      <c r="DK27" s="309"/>
      <c r="DL27" s="309"/>
      <c r="DM27" s="309"/>
      <c r="DN27" s="309"/>
      <c r="DO27" s="309"/>
      <c r="DP27" s="309"/>
      <c r="DQ27" s="309"/>
      <c r="DR27" s="309"/>
      <c r="DS27" s="309"/>
      <c r="DT27" s="309"/>
      <c r="DU27" s="309"/>
      <c r="DV27" s="309"/>
      <c r="DW27" s="309"/>
      <c r="DX27" s="309"/>
      <c r="DY27" s="309"/>
      <c r="DZ27" s="309"/>
      <c r="EA27" s="309"/>
      <c r="EB27" s="309"/>
      <c r="EC27" s="309"/>
      <c r="ED27" s="309"/>
      <c r="EE27" s="309"/>
      <c r="EF27" s="309"/>
      <c r="EG27" s="309"/>
      <c r="EH27" s="309"/>
      <c r="EI27" s="309"/>
      <c r="EJ27" s="309"/>
      <c r="EK27" s="309"/>
      <c r="EL27" s="309"/>
      <c r="EM27" s="309"/>
      <c r="EN27" s="309"/>
      <c r="EO27" s="309"/>
      <c r="EP27" s="309"/>
      <c r="EQ27" s="309"/>
      <c r="ER27" s="309"/>
      <c r="ES27" s="309"/>
      <c r="ET27" s="309"/>
      <c r="EU27" s="309"/>
      <c r="EV27" s="309"/>
      <c r="EW27" s="309"/>
      <c r="EX27" s="309"/>
      <c r="EY27" s="309"/>
      <c r="EZ27" s="309"/>
      <c r="FA27" s="309"/>
      <c r="FB27" s="309"/>
      <c r="FC27" s="309"/>
      <c r="FD27" s="309"/>
    </row>
    <row r="28" spans="1:160" ht="14">
      <c r="A28" s="296"/>
      <c r="N28" s="168"/>
      <c r="AB28" s="2">
        <f>160*SUM(AB20:AB23)</f>
        <v>1760</v>
      </c>
      <c r="AC28" s="2" t="e">
        <f>160*SUM(AC20:AC23)</f>
        <v>#REF!</v>
      </c>
      <c r="AD28" s="2" t="e">
        <f>160*SUM(AD20:AD23)</f>
        <v>#REF!</v>
      </c>
      <c r="AE28" s="2" t="e">
        <f>160*SUM(AE20:AE23)</f>
        <v>#REF!</v>
      </c>
      <c r="AF28" s="2" t="e">
        <f>160*SUM(AF20:AF23)</f>
        <v>#REF!</v>
      </c>
      <c r="AG28" s="2" t="e">
        <f>160*SUM(AG20:AG23)</f>
        <v>#REF!</v>
      </c>
      <c r="AH28" s="2" t="e">
        <f>160*SUM(AH20:AH23)</f>
        <v>#REF!</v>
      </c>
      <c r="AI28" s="2" t="e">
        <f>160*SUM(AI20:AI23)</f>
        <v>#REF!</v>
      </c>
      <c r="AJ28" s="2" t="e">
        <f>160*SUM(AJ20:AJ23)</f>
        <v>#REF!</v>
      </c>
      <c r="AK28" s="2" t="e">
        <f>160*SUM(AK20:AK23)</f>
        <v>#REF!</v>
      </c>
      <c r="AL28" s="2" t="e">
        <f>160*SUM(AL20:AL23)</f>
        <v>#REF!</v>
      </c>
      <c r="AM28" s="2" t="e">
        <f>160*SUM(AM20:AM23)</f>
        <v>#REF!</v>
      </c>
      <c r="AN28" s="2" t="e">
        <f>160*SUM(AN20:AN23)</f>
        <v>#REF!</v>
      </c>
      <c r="AO28" s="2" t="e">
        <f>160*SUM(AO20:AO23)</f>
        <v>#REF!</v>
      </c>
      <c r="AP28" s="2" t="e">
        <f>160*SUM(AP20:AP23)</f>
        <v>#REF!</v>
      </c>
      <c r="AQ28" s="2" t="e">
        <f>160*SUM(AQ20:AQ23)</f>
        <v>#REF!</v>
      </c>
      <c r="AR28" s="2" t="e">
        <f>160*SUM(AR20:AR23)</f>
        <v>#REF!</v>
      </c>
      <c r="AS28" s="2" t="e">
        <f>160*SUM(AS20:AS23)</f>
        <v>#REF!</v>
      </c>
      <c r="AT28" s="2" t="e">
        <f>160*SUM(AT20:AT23)</f>
        <v>#REF!</v>
      </c>
      <c r="AU28" s="2" t="e">
        <f>160*SUM(AU20:AU23)</f>
        <v>#REF!</v>
      </c>
      <c r="AV28" s="2" t="e">
        <f>160*SUM(AV20:AV23)</f>
        <v>#REF!</v>
      </c>
      <c r="AW28" s="2" t="e">
        <f>160*SUM(AW20:AW23)</f>
        <v>#REF!</v>
      </c>
      <c r="AX28" s="2" t="e">
        <f>160*SUM(AX20:AX23)</f>
        <v>#REF!</v>
      </c>
      <c r="AY28" s="2" t="e">
        <f>160*SUM(AY20:AY23)</f>
        <v>#REF!</v>
      </c>
      <c r="AZ28" s="2" t="e">
        <f>160*SUM(AZ20:AZ23)</f>
        <v>#REF!</v>
      </c>
      <c r="BA28" s="2" t="e">
        <f>160*SUM(BA20:BA23)</f>
        <v>#REF!</v>
      </c>
      <c r="BB28" s="2" t="e">
        <f>160*SUM(BB20:BB23)</f>
        <v>#REF!</v>
      </c>
      <c r="BC28" s="2" t="e">
        <f>SUM(BC20:BC23)</f>
        <v>#REF!</v>
      </c>
      <c r="BD28" s="2" t="e">
        <f>SUM(BD20:BD23)</f>
        <v>#REF!</v>
      </c>
      <c r="BE28" s="2" t="e">
        <f>SUM(BE20:BE23)</f>
        <v>#REF!</v>
      </c>
      <c r="BF28" s="2" t="e">
        <f>SUM(BF20:BF23)</f>
        <v>#REF!</v>
      </c>
      <c r="BG28" s="2" t="e">
        <f>SUM(BG20:BG23)</f>
        <v>#REF!</v>
      </c>
      <c r="BH28" s="2" t="e">
        <f>SUM(BH20:BH23)</f>
        <v>#REF!</v>
      </c>
      <c r="BI28" s="2" t="e">
        <f>SUM(BI20:BI23)</f>
        <v>#REF!</v>
      </c>
      <c r="BJ28" s="2" t="e">
        <f>SUM(BJ20:BJ23)</f>
        <v>#REF!</v>
      </c>
      <c r="BK28" s="2" t="e">
        <f>SUM(BK20:BK23)</f>
        <v>#REF!</v>
      </c>
      <c r="BL28" s="2" t="e">
        <f>SUM(BL20:BL23)</f>
        <v>#REF!</v>
      </c>
      <c r="BM28" s="2" t="e">
        <f>SUM(BM20:BM23)</f>
        <v>#REF!</v>
      </c>
      <c r="BN28" s="2" t="e">
        <f>SUM(BN20:BN23)</f>
        <v>#REF!</v>
      </c>
      <c r="BO28" s="2" t="e">
        <f>SUM(BO20:BO23)</f>
        <v>#REF!</v>
      </c>
      <c r="BP28" s="2" t="e">
        <f>SUM(BP20:BP23)</f>
        <v>#REF!</v>
      </c>
      <c r="BQ28" s="2" t="e">
        <f>SUM(BQ20:BQ23)</f>
        <v>#REF!</v>
      </c>
      <c r="BR28" s="2" t="e">
        <f>SUM(BR20:BR23)</f>
        <v>#REF!</v>
      </c>
      <c r="BS28" s="2" t="e">
        <f>SUM(BS20:BS23)</f>
        <v>#REF!</v>
      </c>
      <c r="BT28" s="2" t="e">
        <f>SUM(BT20:BT23)</f>
        <v>#REF!</v>
      </c>
      <c r="BU28" s="2" t="e">
        <f>SUM(BU20:BU23)</f>
        <v>#REF!</v>
      </c>
      <c r="BV28" s="2" t="e">
        <f>SUM(BV20:BV23)</f>
        <v>#REF!</v>
      </c>
      <c r="BW28" s="2" t="e">
        <f>SUM(BW20:BW23)</f>
        <v>#REF!</v>
      </c>
      <c r="BX28" s="2" t="e">
        <f>SUM(BX20:BX23)</f>
        <v>#REF!</v>
      </c>
      <c r="BY28" s="2" t="e">
        <f>SUM(BY20:BY23)</f>
        <v>#REF!</v>
      </c>
      <c r="BZ28" s="2" t="e">
        <f>SUM(BZ20:BZ23)</f>
        <v>#REF!</v>
      </c>
      <c r="CA28" s="2" t="e">
        <f>SUM(CA20:CA23)</f>
        <v>#REF!</v>
      </c>
      <c r="CB28" s="2" t="e">
        <f>SUM(CB20:CB23)</f>
        <v>#REF!</v>
      </c>
      <c r="CC28" s="2">
        <f>SUM(CC20:CC22)</f>
        <v>6</v>
      </c>
      <c r="CD28" s="2">
        <f>SUM(CD20:CD23)</f>
        <v>6</v>
      </c>
      <c r="CE28" s="2">
        <f>SUM(CE20:CE23)</f>
        <v>6</v>
      </c>
      <c r="CF28" s="2">
        <f>SUM(CF20:CF23)</f>
        <v>6</v>
      </c>
      <c r="CG28" s="2">
        <f>SUM(CG20:CG23)</f>
        <v>6</v>
      </c>
      <c r="CH28" s="2">
        <f>SUM(CH20:CH23)</f>
        <v>6</v>
      </c>
      <c r="CI28" s="2">
        <f>SUM(CI20:CI23)</f>
        <v>6</v>
      </c>
      <c r="CJ28" s="2">
        <f>SUM(CJ20:CJ23)</f>
        <v>6</v>
      </c>
      <c r="CK28" s="2">
        <f>SUM(CK20:CK23)</f>
        <v>6</v>
      </c>
      <c r="CL28" s="2">
        <f>SUM(CL20:CL23)</f>
        <v>6</v>
      </c>
      <c r="CM28" s="2">
        <f>SUM(CM20:CM23)</f>
        <v>6</v>
      </c>
      <c r="CN28" s="2">
        <f>SUM(CN20:CN23)</f>
        <v>6</v>
      </c>
      <c r="CO28" s="2">
        <f>SUM(CO20:CO23)</f>
        <v>6</v>
      </c>
    </row>
    <row r="29" spans="1:160" ht="14">
      <c r="A29" s="168"/>
      <c r="B29" s="206"/>
      <c r="C29" s="203"/>
      <c r="D29" s="203"/>
      <c r="E29" s="203"/>
      <c r="F29" s="203"/>
      <c r="G29" s="203"/>
      <c r="H29" s="203"/>
      <c r="I29" s="203"/>
      <c r="J29" s="203"/>
      <c r="K29" s="203"/>
      <c r="L29" s="203"/>
      <c r="M29" s="203"/>
      <c r="N29" s="297"/>
      <c r="O29" s="206"/>
      <c r="P29" s="206"/>
      <c r="Q29" s="206"/>
      <c r="R29" s="75"/>
      <c r="S29" s="148"/>
      <c r="T29" s="14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48"/>
      <c r="AT29" s="148"/>
      <c r="AU29" s="148"/>
      <c r="AV29" s="148"/>
      <c r="AW29" s="148"/>
      <c r="AX29" s="148"/>
      <c r="AY29" s="148"/>
      <c r="AZ29" s="148"/>
      <c r="BA29" s="148"/>
      <c r="BB29" s="148"/>
      <c r="BC29" s="148"/>
      <c r="BD29" s="148"/>
      <c r="BE29" s="148"/>
      <c r="BF29" s="148"/>
      <c r="BG29" s="148"/>
      <c r="BH29" s="148"/>
      <c r="BI29" s="148"/>
      <c r="BJ29" s="148"/>
      <c r="BK29" s="148"/>
      <c r="BL29" s="148"/>
      <c r="BM29" s="148"/>
      <c r="BN29" s="148"/>
      <c r="BO29" s="148"/>
      <c r="BP29" s="148"/>
      <c r="BQ29" s="148"/>
      <c r="BR29" s="148"/>
      <c r="BS29" s="148"/>
      <c r="BT29" s="148"/>
      <c r="BU29" s="148"/>
      <c r="BV29" s="148"/>
      <c r="BW29" s="148"/>
      <c r="BX29" s="148"/>
      <c r="BY29" s="148"/>
      <c r="BZ29" s="148"/>
      <c r="CA29" s="148"/>
      <c r="CB29" s="148"/>
      <c r="CC29" s="148"/>
      <c r="CD29" s="148"/>
      <c r="CE29" s="148"/>
      <c r="CF29" s="148"/>
      <c r="CG29" s="148"/>
      <c r="CH29" s="148"/>
      <c r="CI29" s="148"/>
      <c r="CJ29" s="148"/>
      <c r="CK29" s="148"/>
      <c r="CL29" s="148"/>
      <c r="CM29" s="148"/>
      <c r="CN29" s="148"/>
      <c r="CO29" s="148"/>
      <c r="CP29" s="148"/>
      <c r="CQ29" s="148"/>
      <c r="CR29" s="148"/>
      <c r="CS29" s="148"/>
      <c r="CT29" s="148"/>
      <c r="CU29" s="148"/>
      <c r="CV29" s="148"/>
      <c r="CW29" s="148"/>
      <c r="CX29" s="148"/>
      <c r="CY29" s="148"/>
      <c r="CZ29" s="148"/>
      <c r="DA29" s="148"/>
      <c r="DB29" s="148"/>
      <c r="DC29" s="148"/>
      <c r="DD29" s="148"/>
      <c r="DE29" s="148"/>
      <c r="DF29" s="148"/>
      <c r="DG29" s="148"/>
      <c r="DH29" s="148"/>
      <c r="DI29" s="148"/>
      <c r="DJ29" s="148"/>
      <c r="DK29" s="148"/>
      <c r="DL29" s="148"/>
      <c r="DM29" s="148"/>
      <c r="DN29" s="148"/>
      <c r="DO29" s="148"/>
      <c r="DP29" s="148"/>
      <c r="DQ29" s="148"/>
      <c r="DR29" s="148"/>
      <c r="DS29" s="148"/>
      <c r="DT29" s="148"/>
      <c r="DU29" s="148"/>
      <c r="DV29" s="148"/>
      <c r="DW29" s="148"/>
      <c r="DX29" s="148"/>
      <c r="DY29" s="148"/>
      <c r="DZ29" s="148"/>
      <c r="EA29" s="148"/>
      <c r="EB29" s="148"/>
      <c r="EC29" s="148"/>
      <c r="ED29" s="148"/>
      <c r="EE29" s="148"/>
      <c r="EF29" s="148"/>
      <c r="EG29" s="148"/>
      <c r="EH29" s="148"/>
      <c r="EI29" s="148"/>
      <c r="EJ29" s="148"/>
      <c r="EK29" s="148"/>
      <c r="EL29" s="148"/>
      <c r="EM29" s="148"/>
      <c r="EN29" s="148"/>
      <c r="EO29" s="148"/>
      <c r="EP29" s="148"/>
      <c r="EQ29" s="148"/>
      <c r="ER29" s="148"/>
      <c r="ES29" s="148"/>
      <c r="ET29" s="148"/>
      <c r="EU29" s="148"/>
      <c r="EV29" s="148"/>
      <c r="EW29" s="148"/>
      <c r="EX29" s="148"/>
      <c r="EY29" s="148"/>
      <c r="EZ29" s="148"/>
      <c r="FA29" s="148"/>
      <c r="FB29" s="148"/>
      <c r="FC29" s="148"/>
      <c r="FD29" s="148"/>
    </row>
    <row r="30" spans="1:160" ht="14">
      <c r="A30" s="169" t="s">
        <v>292</v>
      </c>
      <c r="B30" s="170"/>
      <c r="C30" s="170"/>
      <c r="D30" s="170"/>
      <c r="E30" s="170"/>
      <c r="F30" s="170"/>
      <c r="G30" s="170"/>
      <c r="H30" s="170"/>
      <c r="I30" s="170"/>
      <c r="J30" s="170"/>
      <c r="K30" s="170"/>
      <c r="L30" s="170"/>
      <c r="M30" s="170"/>
      <c r="N30" s="171"/>
      <c r="O30" s="172"/>
      <c r="P30" s="172"/>
      <c r="Q30" s="172"/>
      <c r="R30" s="173"/>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48"/>
      <c r="CO30" s="148"/>
      <c r="CP30" s="148"/>
      <c r="CQ30" s="148"/>
      <c r="CR30" s="148"/>
      <c r="CS30" s="148"/>
      <c r="CT30" s="148"/>
      <c r="CU30" s="148"/>
      <c r="CV30" s="148"/>
      <c r="CW30" s="148"/>
      <c r="CX30" s="148"/>
      <c r="CY30" s="148"/>
      <c r="CZ30" s="148"/>
      <c r="DA30" s="148"/>
      <c r="DB30" s="148"/>
      <c r="DC30" s="148"/>
      <c r="DD30" s="148"/>
      <c r="DE30" s="148"/>
      <c r="DF30" s="148"/>
      <c r="DG30" s="148"/>
      <c r="DH30" s="148"/>
      <c r="DI30" s="148"/>
      <c r="DJ30" s="148"/>
      <c r="DK30" s="148"/>
      <c r="DL30" s="148"/>
      <c r="DM30" s="148"/>
      <c r="DN30" s="148"/>
      <c r="DO30" s="148"/>
      <c r="DP30" s="148"/>
      <c r="DQ30" s="148"/>
      <c r="DR30" s="148"/>
      <c r="DS30" s="148"/>
      <c r="DT30" s="148"/>
      <c r="DU30" s="148"/>
      <c r="DV30" s="148"/>
      <c r="DW30" s="148"/>
      <c r="DX30" s="148"/>
      <c r="DY30" s="148"/>
      <c r="DZ30" s="148"/>
      <c r="EA30" s="148"/>
      <c r="EB30" s="148"/>
      <c r="EC30" s="148"/>
      <c r="ED30" s="148"/>
      <c r="EE30" s="148"/>
      <c r="EF30" s="148"/>
      <c r="EG30" s="148"/>
      <c r="EH30" s="148"/>
      <c r="EI30" s="148"/>
      <c r="EJ30" s="148"/>
      <c r="EK30" s="148"/>
      <c r="EL30" s="148"/>
      <c r="EM30" s="148"/>
      <c r="EN30" s="148"/>
      <c r="EO30" s="148"/>
      <c r="EP30" s="148"/>
      <c r="EQ30" s="148"/>
      <c r="ER30" s="148"/>
      <c r="ES30" s="148"/>
      <c r="ET30" s="148"/>
      <c r="EU30" s="148"/>
      <c r="EV30" s="148"/>
      <c r="EW30" s="148"/>
      <c r="EX30" s="148"/>
      <c r="EY30" s="148"/>
      <c r="EZ30" s="148"/>
      <c r="FA30" s="148"/>
      <c r="FB30" s="148"/>
      <c r="FC30" s="148"/>
      <c r="FD30" s="148"/>
    </row>
    <row r="31" spans="1:160" ht="14">
      <c r="A31" s="150" t="s">
        <v>333</v>
      </c>
      <c r="B31" s="328">
        <v>2</v>
      </c>
      <c r="C31" s="328">
        <v>3</v>
      </c>
      <c r="D31" s="328">
        <v>3</v>
      </c>
      <c r="E31" s="328">
        <v>3</v>
      </c>
      <c r="F31" s="328">
        <v>3</v>
      </c>
      <c r="G31" s="328">
        <v>3</v>
      </c>
      <c r="H31" s="328">
        <v>3</v>
      </c>
      <c r="I31" s="328">
        <v>3</v>
      </c>
      <c r="J31" s="328">
        <v>3</v>
      </c>
      <c r="K31" s="328">
        <v>2</v>
      </c>
      <c r="L31" s="328">
        <v>2</v>
      </c>
      <c r="M31" s="328">
        <v>2</v>
      </c>
      <c r="N31" s="329"/>
      <c r="O31" s="327" t="s">
        <v>293</v>
      </c>
      <c r="P31" s="330" t="e">
        <f>P20*P6</f>
        <v>#REF!</v>
      </c>
      <c r="Q31" s="330" t="e">
        <f>Q20*Q6</f>
        <v>#REF!</v>
      </c>
      <c r="R31" s="330" t="e">
        <f>R20*R6</f>
        <v>#REF!</v>
      </c>
      <c r="S31" s="330" t="e">
        <f>S20*S6</f>
        <v>#REF!</v>
      </c>
      <c r="T31" s="330" t="e">
        <f>T20*T6</f>
        <v>#REF!</v>
      </c>
      <c r="U31" s="330" t="e">
        <f>U20*U6</f>
        <v>#REF!</v>
      </c>
      <c r="V31" s="330" t="e">
        <f>V20*V6</f>
        <v>#REF!</v>
      </c>
      <c r="W31" s="330">
        <f>W20*W6</f>
        <v>6000</v>
      </c>
      <c r="X31" s="330" t="e">
        <f>X20*X6</f>
        <v>#REF!</v>
      </c>
      <c r="Y31" s="330" t="e">
        <f>Y20*Y6</f>
        <v>#REF!</v>
      </c>
      <c r="Z31" s="330" t="e">
        <f>Z20*Z6</f>
        <v>#REF!</v>
      </c>
      <c r="AA31" s="330" t="e">
        <f>AA20*AA6</f>
        <v>#REF!</v>
      </c>
      <c r="AB31" s="331" t="e">
        <f t="shared" ref="AB31:AB34" si="79">SUM(P31:AA31)</f>
        <v>#REF!</v>
      </c>
      <c r="AC31" s="330" t="e">
        <f>AC20*AC6</f>
        <v>#REF!</v>
      </c>
      <c r="AD31" s="330" t="e">
        <f>AD20*AD6</f>
        <v>#REF!</v>
      </c>
      <c r="AE31" s="330" t="e">
        <f>AE20*AE6</f>
        <v>#REF!</v>
      </c>
      <c r="AF31" s="330" t="e">
        <f>AF20*AF6</f>
        <v>#REF!</v>
      </c>
      <c r="AG31" s="330" t="e">
        <f>AG20*AG6</f>
        <v>#REF!</v>
      </c>
      <c r="AH31" s="330" t="e">
        <f>AH20*AH6</f>
        <v>#REF!</v>
      </c>
      <c r="AI31" s="330" t="e">
        <f>AI20*AI6</f>
        <v>#REF!</v>
      </c>
      <c r="AJ31" s="330" t="e">
        <f>AJ20*AJ6</f>
        <v>#REF!</v>
      </c>
      <c r="AK31" s="330" t="e">
        <f>AK20*AK6</f>
        <v>#REF!</v>
      </c>
      <c r="AL31" s="330" t="e">
        <f>AL20*AL6</f>
        <v>#REF!</v>
      </c>
      <c r="AM31" s="330" t="e">
        <f>AM20*AM6</f>
        <v>#REF!</v>
      </c>
      <c r="AN31" s="330" t="e">
        <f>AN20*AN6</f>
        <v>#REF!</v>
      </c>
      <c r="AO31" s="331" t="e">
        <f t="shared" ref="AO31:AO34" si="80">SUM(AC31:AN31)</f>
        <v>#REF!</v>
      </c>
      <c r="AP31" s="304" t="e">
        <f>AP20*AP6</f>
        <v>#REF!</v>
      </c>
      <c r="AQ31" s="332" t="e">
        <f>AQ20*AQ6</f>
        <v>#REF!</v>
      </c>
      <c r="AR31" s="332" t="e">
        <f>AR20*AR6</f>
        <v>#REF!</v>
      </c>
      <c r="AS31" s="332" t="e">
        <f>AS20*AS6</f>
        <v>#REF!</v>
      </c>
      <c r="AT31" s="332" t="e">
        <f>AT20*AT6</f>
        <v>#REF!</v>
      </c>
      <c r="AU31" s="332" t="e">
        <f>AU20*AU6</f>
        <v>#REF!</v>
      </c>
      <c r="AV31" s="332" t="e">
        <f>AV20*AV6</f>
        <v>#REF!</v>
      </c>
      <c r="AW31" s="332" t="e">
        <f>AW20*AW6</f>
        <v>#REF!</v>
      </c>
      <c r="AX31" s="332" t="e">
        <f>AX20*AX6</f>
        <v>#REF!</v>
      </c>
      <c r="AY31" s="332" t="e">
        <f>AY20*AY6</f>
        <v>#REF!</v>
      </c>
      <c r="AZ31" s="332" t="e">
        <f>AZ20*AZ6</f>
        <v>#REF!</v>
      </c>
      <c r="BA31" s="333" t="e">
        <f>BA20*BA6</f>
        <v>#REF!</v>
      </c>
      <c r="BB31" s="301" t="e">
        <f t="shared" ref="BB31:BB34" si="81">SUM(AP31:BA31)</f>
        <v>#REF!</v>
      </c>
      <c r="BC31" s="333" t="e">
        <f>BC20*BC6</f>
        <v>#REF!</v>
      </c>
      <c r="BD31" s="333" t="e">
        <f>BD20*BD6</f>
        <v>#REF!</v>
      </c>
      <c r="BE31" s="333" t="e">
        <f>BE20*BE6</f>
        <v>#REF!</v>
      </c>
      <c r="BF31" s="333" t="e">
        <f>BF20*BF6</f>
        <v>#REF!</v>
      </c>
      <c r="BG31" s="333" t="e">
        <f>BG20*BG6</f>
        <v>#REF!</v>
      </c>
      <c r="BH31" s="333" t="e">
        <f>BH20*BH6</f>
        <v>#REF!</v>
      </c>
      <c r="BI31" s="333" t="e">
        <f>BI20*BI6</f>
        <v>#REF!</v>
      </c>
      <c r="BJ31" s="333" t="e">
        <f>BJ20*BJ6</f>
        <v>#REF!</v>
      </c>
      <c r="BK31" s="333" t="e">
        <f>BK20*BK6</f>
        <v>#REF!</v>
      </c>
      <c r="BL31" s="333" t="e">
        <f>BL20*BL6</f>
        <v>#REF!</v>
      </c>
      <c r="BM31" s="333" t="e">
        <f>BM20*BM6</f>
        <v>#REF!</v>
      </c>
      <c r="BN31" s="333" t="e">
        <f>BN20*BN6</f>
        <v>#REF!</v>
      </c>
      <c r="BO31" s="301" t="e">
        <f t="shared" ref="BO31:BO34" si="82">SUM(BC31:BN31)</f>
        <v>#REF!</v>
      </c>
      <c r="BP31" s="333" t="e">
        <f>BP20*BP6</f>
        <v>#REF!</v>
      </c>
      <c r="BQ31" s="333" t="e">
        <f>BQ20*BQ6</f>
        <v>#REF!</v>
      </c>
      <c r="BR31" s="333" t="e">
        <f>BR20*BR6</f>
        <v>#REF!</v>
      </c>
      <c r="BS31" s="333" t="e">
        <f>BS20*BS6</f>
        <v>#REF!</v>
      </c>
      <c r="BT31" s="333" t="e">
        <f>BT20*BT6</f>
        <v>#REF!</v>
      </c>
      <c r="BU31" s="333" t="e">
        <f>BU20*BU6</f>
        <v>#REF!</v>
      </c>
      <c r="BV31" s="333" t="e">
        <f>BV20*BV6</f>
        <v>#REF!</v>
      </c>
      <c r="BW31" s="333" t="e">
        <f>BW20*BW6</f>
        <v>#REF!</v>
      </c>
      <c r="BX31" s="333" t="e">
        <f>BX20*BX6</f>
        <v>#REF!</v>
      </c>
      <c r="BY31" s="333" t="e">
        <f>BY20*BY6</f>
        <v>#REF!</v>
      </c>
      <c r="BZ31" s="333" t="e">
        <f>BZ20*BZ6</f>
        <v>#REF!</v>
      </c>
      <c r="CA31" s="333" t="e">
        <f>CA20*CA6</f>
        <v>#REF!</v>
      </c>
      <c r="CB31" s="301" t="e">
        <f t="shared" ref="CB31:CB34" si="83">SUM(BP31:CA31)</f>
        <v>#REF!</v>
      </c>
      <c r="CC31" s="334">
        <f>CC20*CC6</f>
        <v>9700.44</v>
      </c>
      <c r="CD31" s="335">
        <f>CD20*CD6</f>
        <v>9700.44</v>
      </c>
      <c r="CE31" s="335">
        <f>CE20*CE6</f>
        <v>9700.44</v>
      </c>
      <c r="CF31" s="335">
        <f>CF20*CF6</f>
        <v>9700.44</v>
      </c>
      <c r="CG31" s="335">
        <f>CG20*CG6</f>
        <v>9700.44</v>
      </c>
      <c r="CH31" s="335">
        <f>CH20*CH6</f>
        <v>9700.44</v>
      </c>
      <c r="CI31" s="335">
        <f>CI20*CI6</f>
        <v>9700.44</v>
      </c>
      <c r="CJ31" s="335">
        <f>CJ20*CJ6</f>
        <v>9700.44</v>
      </c>
      <c r="CK31" s="335">
        <f>CK20*CK6</f>
        <v>9700.44</v>
      </c>
      <c r="CL31" s="335">
        <f>CL20*CL6</f>
        <v>9700.44</v>
      </c>
      <c r="CM31" s="335">
        <f>CM20*CM6</f>
        <v>9700.44</v>
      </c>
      <c r="CN31" s="336">
        <f>CN20*CN6</f>
        <v>9700.44</v>
      </c>
      <c r="CO31" s="301">
        <f t="shared" ref="CO31:CO39" si="84">SUM(CC31:CN31)</f>
        <v>116405.28000000001</v>
      </c>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row>
    <row r="32" spans="1:160" ht="14">
      <c r="A32" s="296" t="s">
        <v>306</v>
      </c>
      <c r="B32" s="203">
        <v>2</v>
      </c>
      <c r="C32" s="203">
        <v>2</v>
      </c>
      <c r="D32" s="203">
        <v>3</v>
      </c>
      <c r="E32" s="203">
        <v>3.5</v>
      </c>
      <c r="F32" s="203">
        <v>4</v>
      </c>
      <c r="G32" s="203">
        <v>4</v>
      </c>
      <c r="H32" s="203">
        <v>4</v>
      </c>
      <c r="I32" s="203">
        <v>4</v>
      </c>
      <c r="J32" s="203">
        <v>4</v>
      </c>
      <c r="K32" s="203">
        <v>4</v>
      </c>
      <c r="L32" s="203">
        <v>4</v>
      </c>
      <c r="M32" s="203">
        <v>4</v>
      </c>
      <c r="N32" s="297"/>
      <c r="O32" s="296" t="s">
        <v>294</v>
      </c>
      <c r="P32" s="337" t="e">
        <f>P7*P20</f>
        <v>#REF!</v>
      </c>
      <c r="Q32" s="337" t="e">
        <f>Q7*Q20</f>
        <v>#REF!</v>
      </c>
      <c r="R32" s="337" t="e">
        <f>R7*R20</f>
        <v>#REF!</v>
      </c>
      <c r="S32" s="337" t="e">
        <f>S7*S20</f>
        <v>#REF!</v>
      </c>
      <c r="T32" s="337" t="e">
        <f>T7*T20</f>
        <v>#REF!</v>
      </c>
      <c r="U32" s="337" t="e">
        <f>U7*U20</f>
        <v>#REF!</v>
      </c>
      <c r="V32" s="337" t="e">
        <f>V7*V20</f>
        <v>#REF!</v>
      </c>
      <c r="W32" s="337">
        <f>W7*W20</f>
        <v>10500</v>
      </c>
      <c r="X32" s="337" t="e">
        <f>X7*X20</f>
        <v>#REF!</v>
      </c>
      <c r="Y32" s="337" t="e">
        <f>Y7*Y20</f>
        <v>#REF!</v>
      </c>
      <c r="Z32" s="337" t="e">
        <f>Z7*Z20</f>
        <v>#REF!</v>
      </c>
      <c r="AA32" s="337" t="e">
        <f>AA20*AA7</f>
        <v>#REF!</v>
      </c>
      <c r="AB32" s="338" t="e">
        <f t="shared" si="79"/>
        <v>#REF!</v>
      </c>
      <c r="AC32" s="337" t="e">
        <f>AC20*AC7</f>
        <v>#REF!</v>
      </c>
      <c r="AD32" s="337" t="e">
        <f>AD20*AD7</f>
        <v>#REF!</v>
      </c>
      <c r="AE32" s="337" t="e">
        <f>AE20*AE7</f>
        <v>#REF!</v>
      </c>
      <c r="AF32" s="337" t="e">
        <f>AF20*AF7</f>
        <v>#REF!</v>
      </c>
      <c r="AG32" s="337" t="e">
        <f>AG20*AG7</f>
        <v>#REF!</v>
      </c>
      <c r="AH32" s="337" t="e">
        <f>AH20*AH7</f>
        <v>#REF!</v>
      </c>
      <c r="AI32" s="337" t="e">
        <f>AI20*AI7</f>
        <v>#REF!</v>
      </c>
      <c r="AJ32" s="337" t="e">
        <f>AJ20*AJ7</f>
        <v>#REF!</v>
      </c>
      <c r="AK32" s="337" t="e">
        <f>AK20*AK7</f>
        <v>#REF!</v>
      </c>
      <c r="AL32" s="337" t="e">
        <f>AL20*AL7</f>
        <v>#REF!</v>
      </c>
      <c r="AM32" s="337" t="e">
        <f>AM20*AM7</f>
        <v>#REF!</v>
      </c>
      <c r="AN32" s="337" t="e">
        <f>AN20*AN7</f>
        <v>#REF!</v>
      </c>
      <c r="AO32" s="338" t="e">
        <f t="shared" si="80"/>
        <v>#REF!</v>
      </c>
      <c r="AP32" s="306">
        <f t="shared" ref="AP32:BA32" si="85">AP7*8</f>
        <v>24800</v>
      </c>
      <c r="AQ32" s="339">
        <f t="shared" si="85"/>
        <v>24800</v>
      </c>
      <c r="AR32" s="339">
        <f t="shared" si="85"/>
        <v>24800</v>
      </c>
      <c r="AS32" s="339">
        <f t="shared" si="85"/>
        <v>24800</v>
      </c>
      <c r="AT32" s="339">
        <f t="shared" si="85"/>
        <v>24800</v>
      </c>
      <c r="AU32" s="339">
        <f t="shared" si="85"/>
        <v>24800</v>
      </c>
      <c r="AV32" s="339">
        <f t="shared" si="85"/>
        <v>24800</v>
      </c>
      <c r="AW32" s="339">
        <f t="shared" si="85"/>
        <v>24800</v>
      </c>
      <c r="AX32" s="339">
        <f t="shared" si="85"/>
        <v>24800</v>
      </c>
      <c r="AY32" s="339">
        <f t="shared" si="85"/>
        <v>24800</v>
      </c>
      <c r="AZ32" s="339">
        <f t="shared" si="85"/>
        <v>24800</v>
      </c>
      <c r="BA32" s="340">
        <f t="shared" si="85"/>
        <v>24800</v>
      </c>
      <c r="BB32" s="341">
        <f t="shared" si="81"/>
        <v>297600</v>
      </c>
      <c r="BC32" s="340">
        <f>BC7*8</f>
        <v>24800</v>
      </c>
      <c r="BD32" s="340">
        <f>BD7*8</f>
        <v>24800</v>
      </c>
      <c r="BE32" s="340">
        <f>BE7*8</f>
        <v>24800</v>
      </c>
      <c r="BF32" s="340">
        <f>BF7*10</f>
        <v>31000</v>
      </c>
      <c r="BG32" s="340">
        <f>BG7*10</f>
        <v>31000</v>
      </c>
      <c r="BH32" s="340">
        <f>BH7*10</f>
        <v>31000</v>
      </c>
      <c r="BI32" s="340">
        <f t="shared" ref="BI32:BN32" si="86">BI7*12</f>
        <v>37200</v>
      </c>
      <c r="BJ32" s="340">
        <f t="shared" si="86"/>
        <v>37200</v>
      </c>
      <c r="BK32" s="340">
        <f t="shared" si="86"/>
        <v>37200</v>
      </c>
      <c r="BL32" s="340">
        <f t="shared" si="86"/>
        <v>37200</v>
      </c>
      <c r="BM32" s="340">
        <f t="shared" si="86"/>
        <v>37200</v>
      </c>
      <c r="BN32" s="340">
        <f t="shared" si="86"/>
        <v>37200</v>
      </c>
      <c r="BO32" s="341">
        <f t="shared" si="82"/>
        <v>390600</v>
      </c>
      <c r="BP32" s="340">
        <f t="shared" ref="BP32:CA32" si="87">BP7*20</f>
        <v>66960</v>
      </c>
      <c r="BQ32" s="340">
        <f t="shared" si="87"/>
        <v>66960</v>
      </c>
      <c r="BR32" s="340">
        <f t="shared" si="87"/>
        <v>66960</v>
      </c>
      <c r="BS32" s="340">
        <f t="shared" si="87"/>
        <v>66960</v>
      </c>
      <c r="BT32" s="340">
        <f t="shared" si="87"/>
        <v>66960</v>
      </c>
      <c r="BU32" s="340">
        <f t="shared" si="87"/>
        <v>66960</v>
      </c>
      <c r="BV32" s="340">
        <f t="shared" si="87"/>
        <v>66960</v>
      </c>
      <c r="BW32" s="340">
        <f t="shared" si="87"/>
        <v>66960</v>
      </c>
      <c r="BX32" s="340">
        <f t="shared" si="87"/>
        <v>66960</v>
      </c>
      <c r="BY32" s="340">
        <f t="shared" si="87"/>
        <v>66960</v>
      </c>
      <c r="BZ32" s="340">
        <f t="shared" si="87"/>
        <v>66960</v>
      </c>
      <c r="CA32" s="340">
        <f t="shared" si="87"/>
        <v>66960</v>
      </c>
      <c r="CB32" s="300">
        <f t="shared" si="83"/>
        <v>803520</v>
      </c>
      <c r="CC32" s="342">
        <f>CC7*CC21</f>
        <v>3450</v>
      </c>
      <c r="CD32" s="342">
        <f t="shared" ref="CD32:CN32" si="88">CD7*CD21</f>
        <v>3450</v>
      </c>
      <c r="CE32" s="342">
        <f t="shared" si="88"/>
        <v>3450</v>
      </c>
      <c r="CF32" s="342">
        <f t="shared" si="88"/>
        <v>3450</v>
      </c>
      <c r="CG32" s="342">
        <f t="shared" si="88"/>
        <v>3450</v>
      </c>
      <c r="CH32" s="342">
        <f t="shared" si="88"/>
        <v>3450</v>
      </c>
      <c r="CI32" s="342">
        <f t="shared" si="88"/>
        <v>3450</v>
      </c>
      <c r="CJ32" s="342">
        <f t="shared" si="88"/>
        <v>3450</v>
      </c>
      <c r="CK32" s="342">
        <f t="shared" si="88"/>
        <v>3450</v>
      </c>
      <c r="CL32" s="342">
        <f t="shared" si="88"/>
        <v>3450</v>
      </c>
      <c r="CM32" s="342">
        <f t="shared" si="88"/>
        <v>3450</v>
      </c>
      <c r="CN32" s="342">
        <f t="shared" si="88"/>
        <v>3450</v>
      </c>
      <c r="CO32" s="300">
        <f t="shared" si="84"/>
        <v>41400</v>
      </c>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row>
    <row r="33" spans="1:160" ht="14">
      <c r="A33" s="150" t="s">
        <v>334</v>
      </c>
      <c r="B33" s="174">
        <v>0.8</v>
      </c>
      <c r="C33" s="174">
        <v>0.8</v>
      </c>
      <c r="D33" s="174">
        <v>0.8</v>
      </c>
      <c r="E33" s="174">
        <v>0.8</v>
      </c>
      <c r="F33" s="174">
        <v>0.8</v>
      </c>
      <c r="G33" s="174">
        <v>0.8</v>
      </c>
      <c r="H33" s="174">
        <v>0.8</v>
      </c>
      <c r="I33" s="174">
        <v>0.8</v>
      </c>
      <c r="J33" s="174">
        <v>0.8</v>
      </c>
      <c r="K33" s="174">
        <v>0.8</v>
      </c>
      <c r="L33" s="174">
        <v>0.8</v>
      </c>
      <c r="M33" s="174">
        <v>0.8</v>
      </c>
      <c r="N33" s="175"/>
      <c r="O33" s="150" t="s">
        <v>295</v>
      </c>
      <c r="P33" s="344" t="e">
        <f>P10*#REF!</f>
        <v>#REF!</v>
      </c>
      <c r="Q33" s="344" t="e">
        <f>Q10*#REF!</f>
        <v>#REF!</v>
      </c>
      <c r="R33" s="344" t="e">
        <f>R10*#REF!</f>
        <v>#REF!</v>
      </c>
      <c r="S33" s="344" t="e">
        <f>S10*#REF!</f>
        <v>#REF!</v>
      </c>
      <c r="T33" s="344" t="e">
        <f>T10*#REF!</f>
        <v>#REF!</v>
      </c>
      <c r="U33" s="344" t="e">
        <f>U10*#REF!</f>
        <v>#REF!</v>
      </c>
      <c r="V33" s="344" t="e">
        <f>V10*#REF!</f>
        <v>#REF!</v>
      </c>
      <c r="W33" s="344" t="e">
        <f>W10*#REF!</f>
        <v>#REF!</v>
      </c>
      <c r="X33" s="344" t="e">
        <f>X10*#REF!</f>
        <v>#REF!</v>
      </c>
      <c r="Y33" s="344" t="e">
        <f>Y10*#REF!</f>
        <v>#REF!</v>
      </c>
      <c r="Z33" s="344" t="e">
        <f>Z10*#REF!</f>
        <v>#REF!</v>
      </c>
      <c r="AA33" s="344" t="e">
        <f>AA10*#REF!</f>
        <v>#REF!</v>
      </c>
      <c r="AB33" s="345" t="e">
        <f t="shared" si="79"/>
        <v>#REF!</v>
      </c>
      <c r="AC33" s="344" t="e">
        <f>AC10*#REF!</f>
        <v>#REF!</v>
      </c>
      <c r="AD33" s="344" t="e">
        <f>AD10*#REF!</f>
        <v>#REF!</v>
      </c>
      <c r="AE33" s="344" t="e">
        <f>AE10*#REF!</f>
        <v>#REF!</v>
      </c>
      <c r="AF33" s="344" t="e">
        <f>AF10*#REF!</f>
        <v>#REF!</v>
      </c>
      <c r="AG33" s="344" t="e">
        <f>AG10*#REF!</f>
        <v>#REF!</v>
      </c>
      <c r="AH33" s="344" t="e">
        <f>AH10*#REF!</f>
        <v>#REF!</v>
      </c>
      <c r="AI33" s="344" t="e">
        <f>AI10*#REF!</f>
        <v>#REF!</v>
      </c>
      <c r="AJ33" s="344" t="e">
        <f>AJ10*#REF!</f>
        <v>#REF!</v>
      </c>
      <c r="AK33" s="344" t="e">
        <f>AK10*#REF!</f>
        <v>#REF!</v>
      </c>
      <c r="AL33" s="344" t="e">
        <f>AL10*#REF!</f>
        <v>#REF!</v>
      </c>
      <c r="AM33" s="344" t="e">
        <f>AM10*#REF!</f>
        <v>#REF!</v>
      </c>
      <c r="AN33" s="344" t="e">
        <f>AN10*#REF!</f>
        <v>#REF!</v>
      </c>
      <c r="AO33" s="338" t="e">
        <f t="shared" si="80"/>
        <v>#REF!</v>
      </c>
      <c r="AP33" s="307" t="e">
        <f>AP10*#REF!</f>
        <v>#REF!</v>
      </c>
      <c r="AQ33" s="346" t="e">
        <f>AQ10*#REF!</f>
        <v>#REF!</v>
      </c>
      <c r="AR33" s="346" t="e">
        <f>AR10*#REF!</f>
        <v>#REF!</v>
      </c>
      <c r="AS33" s="346" t="e">
        <f>AS10*#REF!</f>
        <v>#REF!</v>
      </c>
      <c r="AT33" s="346" t="e">
        <f>AT10*#REF!</f>
        <v>#REF!</v>
      </c>
      <c r="AU33" s="346" t="e">
        <f>AU10*#REF!</f>
        <v>#REF!</v>
      </c>
      <c r="AV33" s="346" t="e">
        <f>AV10*#REF!</f>
        <v>#REF!</v>
      </c>
      <c r="AW33" s="346" t="e">
        <f>AW10*#REF!</f>
        <v>#REF!</v>
      </c>
      <c r="AX33" s="346" t="e">
        <f>AX10*#REF!</f>
        <v>#REF!</v>
      </c>
      <c r="AY33" s="346" t="e">
        <f>AY10*#REF!</f>
        <v>#REF!</v>
      </c>
      <c r="AZ33" s="346" t="e">
        <f>AZ10*#REF!</f>
        <v>#REF!</v>
      </c>
      <c r="BA33" s="346" t="e">
        <f>BA10*#REF!</f>
        <v>#REF!</v>
      </c>
      <c r="BB33" s="301" t="e">
        <f t="shared" si="81"/>
        <v>#REF!</v>
      </c>
      <c r="BC33" s="346" t="e">
        <f>BC10*(#REF!+BC20)</f>
        <v>#REF!</v>
      </c>
      <c r="BD33" s="346" t="e">
        <f>BD10*(#REF!+BD20)</f>
        <v>#REF!</v>
      </c>
      <c r="BE33" s="346" t="e">
        <f>BE10*(#REF!+BE20)</f>
        <v>#REF!</v>
      </c>
      <c r="BF33" s="346" t="e">
        <f>BF10*(#REF!+BF20)</f>
        <v>#REF!</v>
      </c>
      <c r="BG33" s="346" t="e">
        <f>BG10*(#REF!+BG20)</f>
        <v>#REF!</v>
      </c>
      <c r="BH33" s="346" t="e">
        <f>BH10*(#REF!+BH20)</f>
        <v>#REF!</v>
      </c>
      <c r="BI33" s="346" t="e">
        <f>BI10*(#REF!+BI20)</f>
        <v>#REF!</v>
      </c>
      <c r="BJ33" s="346" t="e">
        <f>BJ10*(#REF!+BJ20)</f>
        <v>#REF!</v>
      </c>
      <c r="BK33" s="346" t="e">
        <f>BK10*(#REF!+BK20)</f>
        <v>#REF!</v>
      </c>
      <c r="BL33" s="346" t="e">
        <f>BL10*(#REF!+BL20)</f>
        <v>#REF!</v>
      </c>
      <c r="BM33" s="346" t="e">
        <f>BM10*(#REF!+BM20)</f>
        <v>#REF!</v>
      </c>
      <c r="BN33" s="346" t="e">
        <f>BN10*(#REF!+BN20)</f>
        <v>#REF!</v>
      </c>
      <c r="BO33" s="301" t="e">
        <f t="shared" si="82"/>
        <v>#REF!</v>
      </c>
      <c r="BP33" s="346" t="e">
        <f>BP10*(#REF!+BP20)</f>
        <v>#REF!</v>
      </c>
      <c r="BQ33" s="346" t="e">
        <f>BQ10*(#REF!+BQ20)</f>
        <v>#REF!</v>
      </c>
      <c r="BR33" s="346" t="e">
        <f>BR10*(#REF!+BR20)</f>
        <v>#REF!</v>
      </c>
      <c r="BS33" s="346" t="e">
        <f>BS10*(#REF!+BS20)</f>
        <v>#REF!</v>
      </c>
      <c r="BT33" s="346" t="e">
        <f>BT10*(#REF!+BT20)</f>
        <v>#REF!</v>
      </c>
      <c r="BU33" s="346" t="e">
        <f>BU10*(#REF!+BU20)</f>
        <v>#REF!</v>
      </c>
      <c r="BV33" s="346" t="e">
        <f>BV10*(#REF!+BV20)</f>
        <v>#REF!</v>
      </c>
      <c r="BW33" s="346" t="e">
        <f>BW10*(#REF!+BW20)</f>
        <v>#REF!</v>
      </c>
      <c r="BX33" s="346" t="e">
        <f>BX10*(#REF!+BX20)</f>
        <v>#REF!</v>
      </c>
      <c r="BY33" s="346" t="e">
        <f>BY10*(#REF!+BY20)</f>
        <v>#REF!</v>
      </c>
      <c r="BZ33" s="346" t="e">
        <f>BZ10*(#REF!+BZ20)</f>
        <v>#REF!</v>
      </c>
      <c r="CA33" s="346" t="e">
        <f>CA10*(#REF!+CA20)</f>
        <v>#REF!</v>
      </c>
      <c r="CB33" s="301" t="e">
        <f t="shared" si="83"/>
        <v>#REF!</v>
      </c>
      <c r="CC33" s="347">
        <f>CC8*(CC20+CC21+CC22)</f>
        <v>1290</v>
      </c>
      <c r="CD33" s="347">
        <f t="shared" ref="CD33:CN33" si="89">CD8*(CD20+CD21+CD22)</f>
        <v>1290</v>
      </c>
      <c r="CE33" s="347">
        <f t="shared" si="89"/>
        <v>1290</v>
      </c>
      <c r="CF33" s="347">
        <f t="shared" si="89"/>
        <v>1290</v>
      </c>
      <c r="CG33" s="347">
        <f t="shared" si="89"/>
        <v>1290</v>
      </c>
      <c r="CH33" s="347">
        <f t="shared" si="89"/>
        <v>1290</v>
      </c>
      <c r="CI33" s="347">
        <f t="shared" si="89"/>
        <v>1290</v>
      </c>
      <c r="CJ33" s="347">
        <f t="shared" si="89"/>
        <v>1290</v>
      </c>
      <c r="CK33" s="347">
        <f t="shared" si="89"/>
        <v>1290</v>
      </c>
      <c r="CL33" s="347">
        <f t="shared" si="89"/>
        <v>1290</v>
      </c>
      <c r="CM33" s="347">
        <f t="shared" si="89"/>
        <v>1290</v>
      </c>
      <c r="CN33" s="347">
        <f t="shared" si="89"/>
        <v>1290</v>
      </c>
      <c r="CO33" s="301">
        <f t="shared" si="84"/>
        <v>15480</v>
      </c>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row>
    <row r="34" spans="1:160" ht="14">
      <c r="A34" s="348"/>
      <c r="B34" s="349"/>
      <c r="C34" s="350"/>
      <c r="D34" s="350"/>
      <c r="E34" s="350"/>
      <c r="F34" s="350"/>
      <c r="G34" s="350"/>
      <c r="H34" s="350"/>
      <c r="I34" s="350"/>
      <c r="J34" s="350"/>
      <c r="K34" s="350">
        <v>1</v>
      </c>
      <c r="L34" s="350">
        <v>1</v>
      </c>
      <c r="M34" s="350">
        <v>1</v>
      </c>
      <c r="N34" s="351"/>
      <c r="O34" s="352" t="s">
        <v>296</v>
      </c>
      <c r="P34" s="353" t="e">
        <f>P8*SUM(P20:P21)</f>
        <v>#REF!</v>
      </c>
      <c r="Q34" s="353" t="e">
        <f>Q8*SUM(Q20:Q21)</f>
        <v>#REF!</v>
      </c>
      <c r="R34" s="353" t="e">
        <f>R8*SUM(R20:R21)</f>
        <v>#REF!</v>
      </c>
      <c r="S34" s="353" t="e">
        <f>S8*SUM(S20:S21)</f>
        <v>#REF!</v>
      </c>
      <c r="T34" s="353" t="e">
        <f>T8*SUM(T20:T21)</f>
        <v>#REF!</v>
      </c>
      <c r="U34" s="353" t="e">
        <f>U8*SUM(U20:U21)</f>
        <v>#REF!</v>
      </c>
      <c r="V34" s="353" t="e">
        <f>V8*SUM(V20:V21)</f>
        <v>#REF!</v>
      </c>
      <c r="W34" s="353" t="e">
        <f>W8*SUM(W20:W21)</f>
        <v>#REF!</v>
      </c>
      <c r="X34" s="353" t="e">
        <f>X8*SUM(X20:X21)</f>
        <v>#REF!</v>
      </c>
      <c r="Y34" s="353" t="e">
        <f>Y8*SUM(Y20:Y21)</f>
        <v>#REF!</v>
      </c>
      <c r="Z34" s="353" t="e">
        <f>Z8*SUM(Z20:Z21)</f>
        <v>#REF!</v>
      </c>
      <c r="AA34" s="353" t="e">
        <f>AA8*SUM(AA20:AA21)</f>
        <v>#REF!</v>
      </c>
      <c r="AB34" s="354" t="e">
        <f t="shared" si="79"/>
        <v>#REF!</v>
      </c>
      <c r="AC34" s="353" t="e">
        <f>AC8*SUM(AC20:AC21)</f>
        <v>#REF!</v>
      </c>
      <c r="AD34" s="353" t="e">
        <f>AD8*SUM(AD20:AD21)</f>
        <v>#REF!</v>
      </c>
      <c r="AE34" s="353" t="e">
        <f>AE8*SUM(AE20:AE21)</f>
        <v>#REF!</v>
      </c>
      <c r="AF34" s="353" t="e">
        <f>AF8*SUM(AF20:AF21)</f>
        <v>#REF!</v>
      </c>
      <c r="AG34" s="353" t="e">
        <f>AG8*SUM(AG20:AG21)</f>
        <v>#REF!</v>
      </c>
      <c r="AH34" s="353" t="e">
        <f>AH8*SUM(AH20:AH21)</f>
        <v>#REF!</v>
      </c>
      <c r="AI34" s="353" t="e">
        <f>AI8*SUM(AI20:AI21)</f>
        <v>#REF!</v>
      </c>
      <c r="AJ34" s="353" t="e">
        <f>AJ8*SUM(AJ20:AJ21)</f>
        <v>#REF!</v>
      </c>
      <c r="AK34" s="353" t="e">
        <f>AK8*SUM(AK20:AK21)</f>
        <v>#REF!</v>
      </c>
      <c r="AL34" s="353" t="e">
        <f>AL8*SUM(AL20:AL21)</f>
        <v>#REF!</v>
      </c>
      <c r="AM34" s="353" t="e">
        <f>AM8*SUM(AM20:AM21)</f>
        <v>#REF!</v>
      </c>
      <c r="AN34" s="353" t="e">
        <f>AN8*SUM(AN20:AN21)</f>
        <v>#REF!</v>
      </c>
      <c r="AO34" s="354" t="e">
        <f t="shared" si="80"/>
        <v>#REF!</v>
      </c>
      <c r="AP34" s="353" t="e">
        <f>AP8*SUM(AP20:AP21)</f>
        <v>#REF!</v>
      </c>
      <c r="AQ34" s="353" t="e">
        <f>AQ8*SUM(AQ20:AQ21)</f>
        <v>#REF!</v>
      </c>
      <c r="AR34" s="353" t="e">
        <f>AR8*SUM(AR20:AR21)</f>
        <v>#REF!</v>
      </c>
      <c r="AS34" s="353" t="e">
        <f>AS8*SUM(AS20:AS21)</f>
        <v>#REF!</v>
      </c>
      <c r="AT34" s="353" t="e">
        <f>AT8*SUM(AT20:AT21)</f>
        <v>#REF!</v>
      </c>
      <c r="AU34" s="353" t="e">
        <f>AU8*SUM(AU20:AU21)</f>
        <v>#REF!</v>
      </c>
      <c r="AV34" s="353" t="e">
        <f>AV8*SUM(AV20:AV21)</f>
        <v>#REF!</v>
      </c>
      <c r="AW34" s="353" t="e">
        <f>AW8*SUM(AW20:AW21)</f>
        <v>#REF!</v>
      </c>
      <c r="AX34" s="353" t="e">
        <f>AX8*SUM(AX20:AX21)</f>
        <v>#REF!</v>
      </c>
      <c r="AY34" s="353" t="e">
        <f>AY8*SUM(AY20:AY21)</f>
        <v>#REF!</v>
      </c>
      <c r="AZ34" s="353" t="e">
        <f>AZ8*SUM(AZ20:AZ21)</f>
        <v>#REF!</v>
      </c>
      <c r="BA34" s="353" t="e">
        <f>BA8*SUM(BA20:BA21)</f>
        <v>#REF!</v>
      </c>
      <c r="BB34" s="355" t="e">
        <f t="shared" si="81"/>
        <v>#REF!</v>
      </c>
      <c r="BC34" s="353" t="e">
        <f>BC8*SUM(BC20:BC21)</f>
        <v>#REF!</v>
      </c>
      <c r="BD34" s="353" t="e">
        <f>BD8*SUM(BD20:BD21)</f>
        <v>#REF!</v>
      </c>
      <c r="BE34" s="353" t="e">
        <f>BE8*SUM(BE20:BE21)</f>
        <v>#REF!</v>
      </c>
      <c r="BF34" s="353" t="e">
        <f>BF8*SUM(BF20:BF21)</f>
        <v>#REF!</v>
      </c>
      <c r="BG34" s="353" t="e">
        <f>BG8*SUM(BG20:BG21)</f>
        <v>#REF!</v>
      </c>
      <c r="BH34" s="353" t="e">
        <f>BH8*SUM(BH20:BH21)</f>
        <v>#REF!</v>
      </c>
      <c r="BI34" s="353" t="e">
        <f>BI8*SUM(BI20:BI21)</f>
        <v>#REF!</v>
      </c>
      <c r="BJ34" s="353" t="e">
        <f>BJ8*SUM(BJ20:BJ21)</f>
        <v>#REF!</v>
      </c>
      <c r="BK34" s="353" t="e">
        <f>BK8*SUM(BK20:BK21)</f>
        <v>#REF!</v>
      </c>
      <c r="BL34" s="353" t="e">
        <f>BL8*SUM(BL20:BL21)</f>
        <v>#REF!</v>
      </c>
      <c r="BM34" s="353" t="e">
        <f>BM8*SUM(BM20:BM21)</f>
        <v>#REF!</v>
      </c>
      <c r="BN34" s="353" t="e">
        <f>BN8*SUM(BN20:BN21)</f>
        <v>#REF!</v>
      </c>
      <c r="BO34" s="355" t="e">
        <f t="shared" si="82"/>
        <v>#REF!</v>
      </c>
      <c r="BP34" s="353" t="e">
        <f>BP8*SUM(BP20:BP21)</f>
        <v>#REF!</v>
      </c>
      <c r="BQ34" s="353" t="e">
        <f>BQ8*SUM(BQ20:BQ21)</f>
        <v>#REF!</v>
      </c>
      <c r="BR34" s="353" t="e">
        <f>BR8*SUM(BR20:BR21)</f>
        <v>#REF!</v>
      </c>
      <c r="BS34" s="353" t="e">
        <f>BS8*SUM(BS20:BS21)</f>
        <v>#REF!</v>
      </c>
      <c r="BT34" s="353" t="e">
        <f>BT8*SUM(BT20:BT21)</f>
        <v>#REF!</v>
      </c>
      <c r="BU34" s="353" t="e">
        <f>BU8*SUM(BU20:BU21)</f>
        <v>#REF!</v>
      </c>
      <c r="BV34" s="353" t="e">
        <f>BV8*SUM(BV20:BV21)</f>
        <v>#REF!</v>
      </c>
      <c r="BW34" s="353" t="e">
        <f>BW8*SUM(BW20:BW21)</f>
        <v>#REF!</v>
      </c>
      <c r="BX34" s="353" t="e">
        <f>BX8*SUM(BX20:BX21)</f>
        <v>#REF!</v>
      </c>
      <c r="BY34" s="353" t="e">
        <f>BY8*SUM(BY20:BY21)</f>
        <v>#REF!</v>
      </c>
      <c r="BZ34" s="353" t="e">
        <f>BZ8*SUM(BZ20:BZ21)</f>
        <v>#REF!</v>
      </c>
      <c r="CA34" s="353" t="e">
        <f>CA8*SUM(CA20:CA21)</f>
        <v>#REF!</v>
      </c>
      <c r="CB34" s="356" t="e">
        <f t="shared" si="83"/>
        <v>#REF!</v>
      </c>
      <c r="CC34" s="357"/>
      <c r="CD34" s="353"/>
      <c r="CE34" s="353"/>
      <c r="CF34" s="353"/>
      <c r="CG34" s="353"/>
      <c r="CH34" s="353"/>
      <c r="CI34" s="353"/>
      <c r="CJ34" s="353"/>
      <c r="CK34" s="353"/>
      <c r="CL34" s="353"/>
      <c r="CM34" s="353"/>
      <c r="CN34" s="358"/>
      <c r="CO34" s="359">
        <f t="shared" si="84"/>
        <v>0</v>
      </c>
    </row>
    <row r="35" spans="1:160" s="371" customFormat="1" ht="14">
      <c r="A35" s="360"/>
      <c r="B35" s="361"/>
      <c r="C35" s="362"/>
      <c r="D35" s="362"/>
      <c r="E35" s="362"/>
      <c r="F35" s="362"/>
      <c r="G35" s="362"/>
      <c r="H35" s="362"/>
      <c r="I35" s="362"/>
      <c r="J35" s="362"/>
      <c r="K35" s="362"/>
      <c r="L35" s="362"/>
      <c r="M35" s="362"/>
      <c r="N35" s="363"/>
      <c r="O35" s="364"/>
      <c r="P35" s="365"/>
      <c r="Q35" s="365"/>
      <c r="R35" s="365"/>
      <c r="S35" s="365"/>
      <c r="T35" s="365"/>
      <c r="U35" s="365"/>
      <c r="V35" s="365"/>
      <c r="W35" s="365"/>
      <c r="X35" s="365"/>
      <c r="Y35" s="365"/>
      <c r="Z35" s="365"/>
      <c r="AA35" s="365"/>
      <c r="AB35" s="366"/>
      <c r="AC35" s="365"/>
      <c r="AD35" s="365"/>
      <c r="AE35" s="365"/>
      <c r="AF35" s="365"/>
      <c r="AG35" s="365"/>
      <c r="AH35" s="365"/>
      <c r="AI35" s="365"/>
      <c r="AJ35" s="365"/>
      <c r="AK35" s="365"/>
      <c r="AL35" s="365"/>
      <c r="AM35" s="365"/>
      <c r="AN35" s="365"/>
      <c r="AO35" s="366"/>
      <c r="AP35" s="365"/>
      <c r="AQ35" s="365"/>
      <c r="AR35" s="365"/>
      <c r="AS35" s="365"/>
      <c r="AT35" s="365"/>
      <c r="AU35" s="365"/>
      <c r="AV35" s="365"/>
      <c r="AW35" s="365"/>
      <c r="AX35" s="365"/>
      <c r="AY35" s="365"/>
      <c r="AZ35" s="365"/>
      <c r="BA35" s="365"/>
      <c r="BB35" s="367"/>
      <c r="BC35" s="365"/>
      <c r="BD35" s="365"/>
      <c r="BE35" s="365"/>
      <c r="BF35" s="365"/>
      <c r="BG35" s="365"/>
      <c r="BH35" s="365"/>
      <c r="BI35" s="365"/>
      <c r="BJ35" s="365"/>
      <c r="BK35" s="365"/>
      <c r="BL35" s="365"/>
      <c r="BM35" s="365"/>
      <c r="BN35" s="365"/>
      <c r="BO35" s="367"/>
      <c r="BP35" s="365"/>
      <c r="BQ35" s="365"/>
      <c r="BR35" s="365"/>
      <c r="BS35" s="365"/>
      <c r="BT35" s="365"/>
      <c r="BU35" s="365"/>
      <c r="BV35" s="365"/>
      <c r="BW35" s="365"/>
      <c r="BX35" s="365"/>
      <c r="BY35" s="365"/>
      <c r="BZ35" s="365"/>
      <c r="CA35" s="365"/>
      <c r="CB35" s="368"/>
      <c r="CC35" s="369"/>
      <c r="CD35" s="365"/>
      <c r="CE35" s="365"/>
      <c r="CF35" s="365"/>
      <c r="CG35" s="365"/>
      <c r="CH35" s="365"/>
      <c r="CI35" s="365"/>
      <c r="CJ35" s="365"/>
      <c r="CK35" s="365"/>
      <c r="CL35" s="365"/>
      <c r="CM35" s="365"/>
      <c r="CN35" s="370"/>
      <c r="CO35" s="165">
        <f t="shared" si="84"/>
        <v>0</v>
      </c>
      <c r="CP35" s="185"/>
      <c r="CQ35" s="185"/>
      <c r="CR35" s="185"/>
      <c r="CS35" s="185"/>
      <c r="CT35" s="185"/>
      <c r="CU35" s="185"/>
      <c r="CV35" s="185"/>
      <c r="CW35" s="185"/>
      <c r="CX35" s="185"/>
      <c r="CY35" s="185"/>
      <c r="CZ35" s="185"/>
      <c r="DA35" s="185"/>
      <c r="DB35" s="185"/>
      <c r="DC35" s="185"/>
      <c r="DD35" s="185"/>
      <c r="DE35" s="185"/>
      <c r="DF35" s="185"/>
      <c r="DG35" s="185"/>
      <c r="DH35" s="185"/>
      <c r="DI35" s="185"/>
      <c r="DJ35" s="185"/>
      <c r="DK35" s="185"/>
      <c r="DL35" s="185"/>
      <c r="DM35" s="185"/>
      <c r="DN35" s="185"/>
      <c r="DO35" s="185"/>
      <c r="DP35" s="185"/>
      <c r="DQ35" s="185"/>
      <c r="DR35" s="185"/>
      <c r="DS35" s="185"/>
      <c r="DT35" s="185"/>
      <c r="DU35" s="185"/>
      <c r="DV35" s="185"/>
      <c r="DW35" s="185"/>
      <c r="DX35" s="185"/>
      <c r="DY35" s="185"/>
      <c r="DZ35" s="185"/>
      <c r="EA35" s="185"/>
      <c r="EB35" s="185"/>
      <c r="EC35" s="185"/>
      <c r="ED35" s="185"/>
      <c r="EE35" s="185"/>
      <c r="EF35" s="185"/>
      <c r="EG35" s="185"/>
      <c r="EH35" s="185"/>
      <c r="EI35" s="185"/>
      <c r="EJ35" s="185"/>
      <c r="EK35" s="185"/>
      <c r="EL35" s="185"/>
      <c r="EM35" s="185"/>
      <c r="EN35" s="185"/>
      <c r="EO35" s="185"/>
      <c r="EP35" s="185"/>
      <c r="EQ35" s="185"/>
      <c r="ER35" s="185"/>
      <c r="ES35" s="185"/>
      <c r="ET35" s="185"/>
      <c r="EU35" s="185"/>
      <c r="EV35" s="185"/>
      <c r="EW35" s="185"/>
      <c r="EX35" s="185"/>
      <c r="EY35" s="185"/>
      <c r="EZ35" s="185"/>
      <c r="FA35" s="185"/>
      <c r="FB35" s="185"/>
      <c r="FC35" s="185"/>
      <c r="FD35" s="185"/>
    </row>
    <row r="36" spans="1:160" ht="14">
      <c r="A36" s="372"/>
      <c r="B36" s="373"/>
      <c r="C36" s="374"/>
      <c r="D36" s="374"/>
      <c r="E36" s="374"/>
      <c r="F36" s="374"/>
      <c r="G36" s="374"/>
      <c r="H36" s="374"/>
      <c r="I36" s="374"/>
      <c r="J36" s="374"/>
      <c r="K36" s="374"/>
      <c r="L36" s="374"/>
      <c r="M36" s="374"/>
      <c r="N36" s="375"/>
      <c r="O36" s="376"/>
      <c r="P36" s="377"/>
      <c r="Q36" s="377"/>
      <c r="R36" s="377"/>
      <c r="S36" s="377"/>
      <c r="T36" s="377"/>
      <c r="U36" s="377"/>
      <c r="V36" s="377"/>
      <c r="W36" s="377"/>
      <c r="X36" s="377"/>
      <c r="Y36" s="377"/>
      <c r="Z36" s="377"/>
      <c r="AA36" s="377"/>
      <c r="AB36" s="378"/>
      <c r="AC36" s="377"/>
      <c r="AD36" s="377"/>
      <c r="AE36" s="377"/>
      <c r="AF36" s="377"/>
      <c r="AG36" s="377"/>
      <c r="AH36" s="377"/>
      <c r="AI36" s="377"/>
      <c r="AJ36" s="377"/>
      <c r="AK36" s="377"/>
      <c r="AL36" s="377"/>
      <c r="AM36" s="377"/>
      <c r="AN36" s="377"/>
      <c r="AO36" s="378"/>
      <c r="AP36" s="377"/>
      <c r="AQ36" s="377"/>
      <c r="AR36" s="377"/>
      <c r="AS36" s="377"/>
      <c r="AT36" s="377"/>
      <c r="AU36" s="377"/>
      <c r="AV36" s="377"/>
      <c r="AW36" s="377"/>
      <c r="AX36" s="377"/>
      <c r="AY36" s="377"/>
      <c r="AZ36" s="377"/>
      <c r="BA36" s="377"/>
      <c r="BB36" s="379"/>
      <c r="BC36" s="377"/>
      <c r="BD36" s="377"/>
      <c r="BE36" s="377"/>
      <c r="BF36" s="377"/>
      <c r="BG36" s="377"/>
      <c r="BH36" s="377"/>
      <c r="BI36" s="377"/>
      <c r="BJ36" s="377"/>
      <c r="BK36" s="377"/>
      <c r="BL36" s="377"/>
      <c r="BM36" s="377"/>
      <c r="BN36" s="377"/>
      <c r="BO36" s="379"/>
      <c r="BP36" s="377"/>
      <c r="BQ36" s="377"/>
      <c r="BR36" s="377"/>
      <c r="BS36" s="377"/>
      <c r="BT36" s="377"/>
      <c r="BU36" s="377"/>
      <c r="BV36" s="377"/>
      <c r="BW36" s="377"/>
      <c r="BX36" s="377"/>
      <c r="BY36" s="377"/>
      <c r="BZ36" s="377"/>
      <c r="CA36" s="377"/>
      <c r="CB36" s="380"/>
      <c r="CC36" s="381"/>
      <c r="CD36" s="382"/>
      <c r="CE36" s="382"/>
      <c r="CF36" s="382"/>
      <c r="CG36" s="382"/>
      <c r="CH36" s="382"/>
      <c r="CI36" s="382"/>
      <c r="CJ36" s="382"/>
      <c r="CK36" s="382"/>
      <c r="CL36" s="382"/>
      <c r="CM36" s="382"/>
      <c r="CN36" s="383"/>
      <c r="CO36" s="384">
        <f t="shared" si="84"/>
        <v>0</v>
      </c>
    </row>
    <row r="37" spans="1:160" s="371" customFormat="1" ht="14">
      <c r="A37" s="385"/>
      <c r="B37" s="386">
        <v>0</v>
      </c>
      <c r="C37" s="303"/>
      <c r="D37" s="303"/>
      <c r="E37" s="303"/>
      <c r="F37" s="303"/>
      <c r="G37" s="303"/>
      <c r="H37" s="303"/>
      <c r="I37" s="303"/>
      <c r="J37" s="303"/>
      <c r="K37" s="303"/>
      <c r="L37" s="303"/>
      <c r="M37" s="303"/>
      <c r="N37" s="387"/>
      <c r="O37" s="388" t="s">
        <v>297</v>
      </c>
      <c r="P37" s="335" t="e">
        <f>P9*SUM(P20:P21)</f>
        <v>#REF!</v>
      </c>
      <c r="Q37" s="335" t="e">
        <f>Q9*SUM(Q20:Q21)</f>
        <v>#REF!</v>
      </c>
      <c r="R37" s="335" t="e">
        <f>R9*SUM(R20:R21)</f>
        <v>#REF!</v>
      </c>
      <c r="S37" s="335" t="e">
        <f>S9*SUM(S20:S21)</f>
        <v>#REF!</v>
      </c>
      <c r="T37" s="335" t="e">
        <f>T9*SUM(T20:T21)</f>
        <v>#REF!</v>
      </c>
      <c r="U37" s="335" t="e">
        <f>U9*SUM(U20:U21)</f>
        <v>#REF!</v>
      </c>
      <c r="V37" s="335" t="e">
        <f>V9*SUM(V20:V21)</f>
        <v>#REF!</v>
      </c>
      <c r="W37" s="335" t="e">
        <f>W9*SUM(W20:W21)</f>
        <v>#REF!</v>
      </c>
      <c r="X37" s="335" t="e">
        <f>X9*SUM(X20:X21)</f>
        <v>#REF!</v>
      </c>
      <c r="Y37" s="335" t="e">
        <f>Y9*SUM(Y20:Y21)</f>
        <v>#REF!</v>
      </c>
      <c r="Z37" s="335" t="e">
        <f>Z9*SUM(Z20:Z21)</f>
        <v>#REF!</v>
      </c>
      <c r="AA37" s="335" t="e">
        <f>AA9*SUM(AA20:AA21)</f>
        <v>#REF!</v>
      </c>
      <c r="AB37" s="389" t="e">
        <f>SUM(P37:AA37)</f>
        <v>#REF!</v>
      </c>
      <c r="AC37" s="335" t="e">
        <f>AC9*SUM(AC20:AC21)</f>
        <v>#REF!</v>
      </c>
      <c r="AD37" s="335" t="e">
        <f>AD9*SUM(AD20:AD21)</f>
        <v>#REF!</v>
      </c>
      <c r="AE37" s="335" t="e">
        <f>AE9*SUM(AE20:AE21)</f>
        <v>#REF!</v>
      </c>
      <c r="AF37" s="335" t="e">
        <f>AF9*SUM(AF20:AF21)</f>
        <v>#REF!</v>
      </c>
      <c r="AG37" s="335" t="e">
        <f>AG9*SUM(AG20:AG21)</f>
        <v>#REF!</v>
      </c>
      <c r="AH37" s="335" t="e">
        <f>AH9*SUM(AH20:AH21)</f>
        <v>#REF!</v>
      </c>
      <c r="AI37" s="335" t="e">
        <f>AI9*SUM(AI20:AI21)</f>
        <v>#REF!</v>
      </c>
      <c r="AJ37" s="335" t="e">
        <f>AJ9*SUM(AJ20:AJ21)</f>
        <v>#REF!</v>
      </c>
      <c r="AK37" s="335" t="e">
        <f>AK9*SUM(AK20:AK21)</f>
        <v>#REF!</v>
      </c>
      <c r="AL37" s="335" t="e">
        <f>AL9*SUM(AL20:AL21)</f>
        <v>#REF!</v>
      </c>
      <c r="AM37" s="335" t="e">
        <f>AM9*SUM(AM20:AM21)</f>
        <v>#REF!</v>
      </c>
      <c r="AN37" s="335" t="e">
        <f>AN9*SUM(AN20:AN21)</f>
        <v>#REF!</v>
      </c>
      <c r="AO37" s="389" t="e">
        <f>SUM(AC37:AN37)</f>
        <v>#REF!</v>
      </c>
      <c r="AP37" s="335" t="e">
        <f>AP9*SUM(AP20:AP21)</f>
        <v>#REF!</v>
      </c>
      <c r="AQ37" s="335" t="e">
        <f>AQ9*SUM(AQ20:AQ21)</f>
        <v>#REF!</v>
      </c>
      <c r="AR37" s="335" t="e">
        <f>AR9*SUM(AR20:AR21)</f>
        <v>#REF!</v>
      </c>
      <c r="AS37" s="335" t="e">
        <f>AS9*SUM(AS20:AS21)</f>
        <v>#REF!</v>
      </c>
      <c r="AT37" s="335" t="e">
        <f>AT9*SUM(AT20:AT21)</f>
        <v>#REF!</v>
      </c>
      <c r="AU37" s="335" t="e">
        <f>AU9*SUM(AU20:AU21)</f>
        <v>#REF!</v>
      </c>
      <c r="AV37" s="335" t="e">
        <f>AV9*SUM(AV20:AV21)</f>
        <v>#REF!</v>
      </c>
      <c r="AW37" s="335" t="e">
        <f>AW9*SUM(AW20:AW21)</f>
        <v>#REF!</v>
      </c>
      <c r="AX37" s="335" t="e">
        <f>AX9*SUM(AX20:AX21)</f>
        <v>#REF!</v>
      </c>
      <c r="AY37" s="335" t="e">
        <f>AY9*SUM(AY20:AY21)</f>
        <v>#REF!</v>
      </c>
      <c r="AZ37" s="335" t="e">
        <f>AZ9*SUM(AZ20:AZ21)</f>
        <v>#REF!</v>
      </c>
      <c r="BA37" s="335" t="e">
        <f>BA9*SUM(BA20:BA21)</f>
        <v>#REF!</v>
      </c>
      <c r="BB37" s="390" t="e">
        <f>SUM(AP37:BA37)</f>
        <v>#REF!</v>
      </c>
      <c r="BC37" s="335" t="e">
        <f>BC9*SUM(BC20:BC21)</f>
        <v>#REF!</v>
      </c>
      <c r="BD37" s="335" t="e">
        <f>BD9*SUM(BD20:BD21)</f>
        <v>#REF!</v>
      </c>
      <c r="BE37" s="335" t="e">
        <f>BE9*SUM(BE20:BE21)</f>
        <v>#REF!</v>
      </c>
      <c r="BF37" s="335" t="e">
        <f>BF9*SUM(BF20:BF21)</f>
        <v>#REF!</v>
      </c>
      <c r="BG37" s="335" t="e">
        <f>BG9*SUM(BG20:BG21)</f>
        <v>#REF!</v>
      </c>
      <c r="BH37" s="335" t="e">
        <f>BH9*SUM(BH20:BH21)</f>
        <v>#REF!</v>
      </c>
      <c r="BI37" s="335" t="e">
        <f>BI9*SUM(BI20:BI21)</f>
        <v>#REF!</v>
      </c>
      <c r="BJ37" s="335" t="e">
        <f>BJ9*SUM(BJ20:BJ21)</f>
        <v>#REF!</v>
      </c>
      <c r="BK37" s="335" t="e">
        <f>BK9*SUM(BK20:BK21)</f>
        <v>#REF!</v>
      </c>
      <c r="BL37" s="335" t="e">
        <f>BL9*SUM(BL20:BL21)</f>
        <v>#REF!</v>
      </c>
      <c r="BM37" s="335" t="e">
        <f>BM9*SUM(BM20:BM21)</f>
        <v>#REF!</v>
      </c>
      <c r="BN37" s="335" t="e">
        <f>BN9*SUM(BN20:BN21)</f>
        <v>#REF!</v>
      </c>
      <c r="BO37" s="390" t="e">
        <f>SUM(BC37:BN37)</f>
        <v>#REF!</v>
      </c>
      <c r="BP37" s="335" t="e">
        <f>BP9*SUM(BP20:BP21)</f>
        <v>#REF!</v>
      </c>
      <c r="BQ37" s="335" t="e">
        <f>BQ9*SUM(BQ20:BQ21)</f>
        <v>#REF!</v>
      </c>
      <c r="BR37" s="335" t="e">
        <f>BR9*SUM(BR20:BR21)</f>
        <v>#REF!</v>
      </c>
      <c r="BS37" s="335" t="e">
        <f>BS9*SUM(BS20:BS21)</f>
        <v>#REF!</v>
      </c>
      <c r="BT37" s="335" t="e">
        <f>BT9*SUM(BT20:BT21)</f>
        <v>#REF!</v>
      </c>
      <c r="BU37" s="335" t="e">
        <f>BU9*SUM(BU20:BU21)</f>
        <v>#REF!</v>
      </c>
      <c r="BV37" s="335" t="e">
        <f>BV9*SUM(BV20:BV21)</f>
        <v>#REF!</v>
      </c>
      <c r="BW37" s="335" t="e">
        <f>BW9*SUM(BW20:BW21)</f>
        <v>#REF!</v>
      </c>
      <c r="BX37" s="335" t="e">
        <f>BX9*SUM(BX20:BX21)</f>
        <v>#REF!</v>
      </c>
      <c r="BY37" s="335" t="e">
        <f>BY9*SUM(BY20:BY21)</f>
        <v>#REF!</v>
      </c>
      <c r="BZ37" s="335" t="e">
        <f>BZ9*SUM(BZ20:BZ21)</f>
        <v>#REF!</v>
      </c>
      <c r="CA37" s="335" t="e">
        <f>CA9*SUM(CA20:CA21)</f>
        <v>#REF!</v>
      </c>
      <c r="CB37" s="390" t="e">
        <f>SUM(BP37:CA37)</f>
        <v>#REF!</v>
      </c>
      <c r="CC37" s="334"/>
      <c r="CD37" s="334"/>
      <c r="CE37" s="334"/>
      <c r="CF37" s="334"/>
      <c r="CG37" s="334"/>
      <c r="CH37" s="334"/>
      <c r="CI37" s="334"/>
      <c r="CJ37" s="334"/>
      <c r="CK37" s="334"/>
      <c r="CL37" s="334"/>
      <c r="CM37" s="334"/>
      <c r="CN37" s="391"/>
      <c r="CO37" s="156">
        <f t="shared" si="84"/>
        <v>0</v>
      </c>
      <c r="CP37" s="185"/>
      <c r="CQ37" s="185"/>
      <c r="CR37" s="185"/>
      <c r="CS37" s="185"/>
      <c r="CT37" s="185"/>
      <c r="CU37" s="185"/>
      <c r="CV37" s="185"/>
      <c r="CW37" s="185"/>
      <c r="CX37" s="185"/>
      <c r="CY37" s="185"/>
      <c r="CZ37" s="185"/>
      <c r="DA37" s="185"/>
      <c r="DB37" s="185"/>
      <c r="DC37" s="185"/>
      <c r="DD37" s="185"/>
      <c r="DE37" s="185"/>
      <c r="DF37" s="185"/>
      <c r="DG37" s="185"/>
      <c r="DH37" s="185"/>
      <c r="DI37" s="185"/>
      <c r="DJ37" s="185"/>
      <c r="DK37" s="185"/>
      <c r="DL37" s="185"/>
      <c r="DM37" s="185"/>
      <c r="DN37" s="185"/>
      <c r="DO37" s="185"/>
      <c r="DP37" s="185"/>
      <c r="DQ37" s="185"/>
      <c r="DR37" s="185"/>
      <c r="DS37" s="185"/>
      <c r="DT37" s="185"/>
      <c r="DU37" s="185"/>
      <c r="DV37" s="185"/>
      <c r="DW37" s="185"/>
      <c r="DX37" s="185"/>
      <c r="DY37" s="185"/>
      <c r="DZ37" s="185"/>
      <c r="EA37" s="185"/>
      <c r="EB37" s="185"/>
      <c r="EC37" s="185"/>
      <c r="ED37" s="185"/>
      <c r="EE37" s="185"/>
      <c r="EF37" s="185"/>
      <c r="EG37" s="185"/>
      <c r="EH37" s="185"/>
      <c r="EI37" s="185"/>
      <c r="EJ37" s="185"/>
      <c r="EK37" s="185"/>
      <c r="EL37" s="185"/>
      <c r="EM37" s="185"/>
      <c r="EN37" s="185"/>
      <c r="EO37" s="185"/>
      <c r="EP37" s="185"/>
      <c r="EQ37" s="185"/>
      <c r="ER37" s="185"/>
      <c r="ES37" s="185"/>
      <c r="ET37" s="185"/>
      <c r="EU37" s="185"/>
      <c r="EV37" s="185"/>
      <c r="EW37" s="185"/>
      <c r="EX37" s="185"/>
      <c r="EY37" s="185"/>
      <c r="EZ37" s="185"/>
      <c r="FA37" s="185"/>
      <c r="FB37" s="185"/>
      <c r="FC37" s="185"/>
      <c r="FD37" s="185"/>
    </row>
    <row r="38" spans="1:160" ht="14">
      <c r="A38" s="392"/>
      <c r="B38" s="393"/>
      <c r="C38" s="394"/>
      <c r="D38" s="394"/>
      <c r="E38" s="394"/>
      <c r="F38" s="394"/>
      <c r="G38" s="394"/>
      <c r="H38" s="394"/>
      <c r="I38" s="394"/>
      <c r="J38" s="394"/>
      <c r="K38" s="394"/>
      <c r="L38" s="394"/>
      <c r="M38" s="394"/>
      <c r="N38" s="395"/>
      <c r="O38" s="396"/>
      <c r="P38" s="343"/>
      <c r="Q38" s="343"/>
      <c r="R38" s="343"/>
      <c r="S38" s="343"/>
      <c r="T38" s="343"/>
      <c r="U38" s="343"/>
      <c r="V38" s="343"/>
      <c r="W38" s="343"/>
      <c r="X38" s="343"/>
      <c r="Y38" s="343"/>
      <c r="Z38" s="343"/>
      <c r="AA38" s="343"/>
      <c r="AB38" s="397"/>
      <c r="AC38" s="343"/>
      <c r="AD38" s="343"/>
      <c r="AE38" s="343"/>
      <c r="AF38" s="343"/>
      <c r="AG38" s="343"/>
      <c r="AH38" s="343"/>
      <c r="AI38" s="343"/>
      <c r="AJ38" s="343"/>
      <c r="AK38" s="343"/>
      <c r="AL38" s="343"/>
      <c r="AM38" s="343"/>
      <c r="AN38" s="343"/>
      <c r="AO38" s="397"/>
      <c r="AP38" s="343"/>
      <c r="AQ38" s="343"/>
      <c r="AR38" s="343"/>
      <c r="AS38" s="343"/>
      <c r="AT38" s="343"/>
      <c r="AU38" s="343"/>
      <c r="AV38" s="343"/>
      <c r="AW38" s="343"/>
      <c r="AX38" s="343"/>
      <c r="AY38" s="343"/>
      <c r="AZ38" s="343"/>
      <c r="BA38" s="343"/>
      <c r="BB38" s="398"/>
      <c r="BC38" s="343"/>
      <c r="BD38" s="343"/>
      <c r="BE38" s="343"/>
      <c r="BF38" s="343"/>
      <c r="BG38" s="343"/>
      <c r="BH38" s="343"/>
      <c r="BI38" s="343"/>
      <c r="BJ38" s="343"/>
      <c r="BK38" s="343"/>
      <c r="BL38" s="343"/>
      <c r="BM38" s="343"/>
      <c r="BN38" s="343"/>
      <c r="BO38" s="398"/>
      <c r="BP38" s="343"/>
      <c r="BQ38" s="343"/>
      <c r="BR38" s="343"/>
      <c r="BS38" s="343"/>
      <c r="BT38" s="343"/>
      <c r="BU38" s="343"/>
      <c r="BV38" s="343"/>
      <c r="BW38" s="343"/>
      <c r="BX38" s="343"/>
      <c r="BY38" s="343"/>
      <c r="BZ38" s="343"/>
      <c r="CA38" s="343"/>
      <c r="CB38" s="398"/>
      <c r="CC38" s="399"/>
      <c r="CD38" s="342"/>
      <c r="CE38" s="342"/>
      <c r="CF38" s="342"/>
      <c r="CG38" s="342"/>
      <c r="CH38" s="342"/>
      <c r="CI38" s="342"/>
      <c r="CJ38" s="342"/>
      <c r="CK38" s="342"/>
      <c r="CL38" s="342"/>
      <c r="CM38" s="342"/>
      <c r="CN38" s="400"/>
      <c r="CO38" s="300">
        <f t="shared" si="84"/>
        <v>0</v>
      </c>
    </row>
    <row r="39" spans="1:160" s="371" customFormat="1" ht="14">
      <c r="A39" s="401"/>
      <c r="B39" s="402"/>
      <c r="C39" s="403"/>
      <c r="D39" s="403"/>
      <c r="E39" s="403"/>
      <c r="F39" s="403"/>
      <c r="G39" s="403"/>
      <c r="H39" s="403"/>
      <c r="I39" s="403"/>
      <c r="J39" s="403"/>
      <c r="K39" s="403"/>
      <c r="L39" s="403"/>
      <c r="M39" s="403"/>
      <c r="N39" s="404"/>
      <c r="O39" s="405"/>
      <c r="P39" s="406"/>
      <c r="Q39" s="406"/>
      <c r="R39" s="406"/>
      <c r="S39" s="406"/>
      <c r="T39" s="406"/>
      <c r="U39" s="406"/>
      <c r="V39" s="406"/>
      <c r="W39" s="406"/>
      <c r="X39" s="406"/>
      <c r="Y39" s="406"/>
      <c r="Z39" s="406"/>
      <c r="AA39" s="406"/>
      <c r="AB39" s="407"/>
      <c r="AC39" s="406"/>
      <c r="AD39" s="406"/>
      <c r="AE39" s="406"/>
      <c r="AF39" s="406"/>
      <c r="AG39" s="406"/>
      <c r="AH39" s="406"/>
      <c r="AI39" s="406"/>
      <c r="AJ39" s="406"/>
      <c r="AK39" s="406"/>
      <c r="AL39" s="406"/>
      <c r="AM39" s="406"/>
      <c r="AN39" s="406"/>
      <c r="AO39" s="407"/>
      <c r="AP39" s="406"/>
      <c r="AQ39" s="406"/>
      <c r="AR39" s="406"/>
      <c r="AS39" s="406"/>
      <c r="AT39" s="406"/>
      <c r="AU39" s="406"/>
      <c r="AV39" s="406"/>
      <c r="AW39" s="406"/>
      <c r="AX39" s="406"/>
      <c r="AY39" s="406"/>
      <c r="AZ39" s="406"/>
      <c r="BA39" s="406"/>
      <c r="BB39" s="408"/>
      <c r="BC39" s="406"/>
      <c r="BD39" s="406"/>
      <c r="BE39" s="406"/>
      <c r="BF39" s="406"/>
      <c r="BG39" s="406"/>
      <c r="BH39" s="406"/>
      <c r="BI39" s="406"/>
      <c r="BJ39" s="406"/>
      <c r="BK39" s="406"/>
      <c r="BL39" s="406"/>
      <c r="BM39" s="406"/>
      <c r="BN39" s="406"/>
      <c r="BO39" s="408"/>
      <c r="BP39" s="406"/>
      <c r="BQ39" s="406"/>
      <c r="BR39" s="406"/>
      <c r="BS39" s="406"/>
      <c r="BT39" s="406"/>
      <c r="BU39" s="406"/>
      <c r="BV39" s="406"/>
      <c r="BW39" s="406"/>
      <c r="BX39" s="406"/>
      <c r="BY39" s="406"/>
      <c r="BZ39" s="406"/>
      <c r="CA39" s="406"/>
      <c r="CB39" s="408"/>
      <c r="CC39" s="347"/>
      <c r="CD39" s="347"/>
      <c r="CE39" s="347"/>
      <c r="CF39" s="347"/>
      <c r="CG39" s="347"/>
      <c r="CH39" s="347"/>
      <c r="CI39" s="347"/>
      <c r="CJ39" s="347"/>
      <c r="CK39" s="347"/>
      <c r="CL39" s="347"/>
      <c r="CM39" s="347"/>
      <c r="CN39" s="409"/>
      <c r="CO39" s="302">
        <f t="shared" si="84"/>
        <v>0</v>
      </c>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row>
    <row r="41" spans="1:160" ht="14">
      <c r="A41" s="296"/>
      <c r="B41" s="203"/>
      <c r="C41" s="203"/>
      <c r="D41" s="203"/>
      <c r="E41" s="203"/>
      <c r="F41" s="203"/>
      <c r="G41" s="203"/>
      <c r="H41" s="203"/>
      <c r="I41" s="203"/>
      <c r="J41" s="203"/>
      <c r="K41" s="203"/>
      <c r="L41" s="203"/>
      <c r="M41" s="203"/>
      <c r="N41" s="297"/>
      <c r="O41" s="296"/>
      <c r="P41" s="337"/>
      <c r="Q41" s="337"/>
      <c r="R41" s="337"/>
      <c r="S41" s="337"/>
      <c r="T41" s="337"/>
      <c r="U41" s="337"/>
      <c r="V41" s="337"/>
      <c r="W41" s="337"/>
      <c r="X41" s="337"/>
      <c r="Y41" s="337"/>
      <c r="Z41" s="337"/>
      <c r="AA41" s="337"/>
      <c r="AB41" s="338"/>
      <c r="AC41" s="337"/>
      <c r="AD41" s="337"/>
      <c r="AE41" s="337"/>
      <c r="AF41" s="337"/>
      <c r="AG41" s="337"/>
      <c r="AH41" s="337"/>
      <c r="AI41" s="337"/>
      <c r="AJ41" s="337"/>
      <c r="AK41" s="337"/>
      <c r="AL41" s="337"/>
      <c r="AM41" s="337"/>
      <c r="AN41" s="337"/>
      <c r="AO41" s="338"/>
      <c r="AP41" s="306"/>
      <c r="AQ41" s="410"/>
      <c r="AR41" s="410"/>
      <c r="AS41" s="410"/>
      <c r="AT41" s="410"/>
      <c r="AU41" s="410"/>
      <c r="AV41" s="410"/>
      <c r="AW41" s="410"/>
      <c r="AX41" s="410"/>
      <c r="AY41" s="410"/>
      <c r="AZ41" s="410"/>
      <c r="BA41" s="410"/>
      <c r="BB41" s="341"/>
      <c r="BC41" s="410"/>
      <c r="BD41" s="410"/>
      <c r="BE41" s="410"/>
      <c r="BF41" s="410"/>
      <c r="BG41" s="410"/>
      <c r="BH41" s="410"/>
      <c r="BI41" s="410"/>
      <c r="BJ41" s="410"/>
      <c r="BK41" s="410"/>
      <c r="BL41" s="410"/>
      <c r="BM41" s="410"/>
      <c r="BN41" s="410"/>
      <c r="BO41" s="341"/>
      <c r="BP41" s="410"/>
      <c r="BQ41" s="410"/>
      <c r="BR41" s="410"/>
      <c r="BS41" s="410"/>
      <c r="BT41" s="410"/>
      <c r="BU41" s="410"/>
      <c r="BV41" s="410"/>
      <c r="BW41" s="410"/>
      <c r="BX41" s="410"/>
      <c r="BY41" s="410"/>
      <c r="BZ41" s="410"/>
      <c r="CA41" s="410"/>
      <c r="CB41" s="300"/>
      <c r="CC41" s="411"/>
      <c r="CD41" s="410"/>
      <c r="CE41" s="410"/>
      <c r="CF41" s="410"/>
      <c r="CG41" s="410"/>
      <c r="CH41" s="410"/>
      <c r="CI41" s="410"/>
      <c r="CJ41" s="410"/>
      <c r="CK41" s="410"/>
      <c r="CL41" s="410"/>
      <c r="CM41" s="410"/>
      <c r="CN41" s="410"/>
      <c r="CO41" s="300">
        <f t="shared" ref="CO41:CO45" si="90">SUM(CC41:CN41)</f>
        <v>0</v>
      </c>
      <c r="CP41" s="185"/>
      <c r="CQ41" s="185"/>
      <c r="CR41" s="185"/>
      <c r="CS41" s="185"/>
      <c r="CT41" s="185"/>
      <c r="CU41" s="185"/>
      <c r="CV41" s="185"/>
      <c r="CW41" s="185"/>
      <c r="CX41" s="185"/>
      <c r="CY41" s="185"/>
      <c r="CZ41" s="185"/>
      <c r="DA41" s="185"/>
      <c r="DB41" s="185"/>
      <c r="DC41" s="185"/>
      <c r="DD41" s="185"/>
      <c r="DE41" s="185"/>
      <c r="DF41" s="185"/>
      <c r="DG41" s="185"/>
      <c r="DH41" s="185"/>
      <c r="DI41" s="185"/>
      <c r="DJ41" s="185"/>
      <c r="DK41" s="185"/>
      <c r="DL41" s="185"/>
      <c r="DM41" s="185"/>
      <c r="DN41" s="185"/>
      <c r="DO41" s="185"/>
      <c r="DP41" s="185"/>
      <c r="DQ41" s="185"/>
      <c r="DR41" s="185"/>
      <c r="DS41" s="185"/>
      <c r="DT41" s="185"/>
      <c r="DU41" s="185"/>
      <c r="DV41" s="185"/>
      <c r="DW41" s="185"/>
      <c r="DX41" s="185"/>
      <c r="DY41" s="185"/>
      <c r="DZ41" s="185"/>
      <c r="EA41" s="185"/>
      <c r="EB41" s="185"/>
      <c r="EC41" s="185"/>
      <c r="ED41" s="185"/>
      <c r="EE41" s="185"/>
      <c r="EF41" s="185"/>
      <c r="EG41" s="185"/>
      <c r="EH41" s="185"/>
      <c r="EI41" s="185"/>
      <c r="EJ41" s="185"/>
      <c r="EK41" s="185"/>
      <c r="EL41" s="185"/>
      <c r="EM41" s="185"/>
      <c r="EN41" s="185"/>
      <c r="EO41" s="185"/>
      <c r="EP41" s="185"/>
      <c r="EQ41" s="185"/>
      <c r="ER41" s="185"/>
      <c r="ES41" s="185"/>
      <c r="ET41" s="185"/>
      <c r="EU41" s="185"/>
      <c r="EV41" s="185"/>
      <c r="EW41" s="185"/>
      <c r="EX41" s="185"/>
      <c r="EY41" s="185"/>
      <c r="EZ41" s="185"/>
      <c r="FA41" s="185"/>
      <c r="FB41" s="185"/>
      <c r="FC41" s="185"/>
      <c r="FD41" s="185"/>
    </row>
    <row r="42" spans="1:160" ht="14">
      <c r="A42" s="150"/>
      <c r="B42" s="174"/>
      <c r="C42" s="174"/>
      <c r="D42" s="174"/>
      <c r="E42" s="174"/>
      <c r="F42" s="174"/>
      <c r="G42" s="174"/>
      <c r="H42" s="174"/>
      <c r="I42" s="174"/>
      <c r="J42" s="174"/>
      <c r="K42" s="174"/>
      <c r="L42" s="174"/>
      <c r="M42" s="174"/>
      <c r="N42" s="175"/>
      <c r="O42" s="150"/>
      <c r="P42" s="344"/>
      <c r="Q42" s="344"/>
      <c r="R42" s="344"/>
      <c r="S42" s="344"/>
      <c r="T42" s="344"/>
      <c r="U42" s="344"/>
      <c r="V42" s="344"/>
      <c r="W42" s="344"/>
      <c r="X42" s="344"/>
      <c r="Y42" s="344"/>
      <c r="Z42" s="344"/>
      <c r="AA42" s="344"/>
      <c r="AB42" s="345"/>
      <c r="AC42" s="344"/>
      <c r="AD42" s="344"/>
      <c r="AE42" s="344"/>
      <c r="AF42" s="344"/>
      <c r="AG42" s="344"/>
      <c r="AH42" s="344"/>
      <c r="AI42" s="344"/>
      <c r="AJ42" s="344"/>
      <c r="AK42" s="344"/>
      <c r="AL42" s="344"/>
      <c r="AM42" s="344"/>
      <c r="AN42" s="344"/>
      <c r="AO42" s="338"/>
      <c r="AP42" s="307"/>
      <c r="AQ42" s="346"/>
      <c r="AR42" s="346"/>
      <c r="AS42" s="346"/>
      <c r="AT42" s="346"/>
      <c r="AU42" s="346"/>
      <c r="AV42" s="346"/>
      <c r="AW42" s="346"/>
      <c r="AX42" s="346"/>
      <c r="AY42" s="346"/>
      <c r="AZ42" s="346"/>
      <c r="BA42" s="346"/>
      <c r="BB42" s="301"/>
      <c r="BC42" s="346"/>
      <c r="BD42" s="346"/>
      <c r="BE42" s="346"/>
      <c r="BF42" s="346"/>
      <c r="BG42" s="346"/>
      <c r="BH42" s="346"/>
      <c r="BI42" s="346"/>
      <c r="BJ42" s="346"/>
      <c r="BK42" s="346"/>
      <c r="BL42" s="346"/>
      <c r="BM42" s="346"/>
      <c r="BN42" s="346"/>
      <c r="BO42" s="301"/>
      <c r="BP42" s="346"/>
      <c r="BQ42" s="346"/>
      <c r="BR42" s="346"/>
      <c r="BS42" s="346"/>
      <c r="BT42" s="346"/>
      <c r="BU42" s="346"/>
      <c r="BV42" s="346"/>
      <c r="BW42" s="346"/>
      <c r="BX42" s="346"/>
      <c r="BY42" s="346"/>
      <c r="BZ42" s="346"/>
      <c r="CA42" s="346"/>
      <c r="CB42" s="301"/>
      <c r="CC42" s="346"/>
      <c r="CD42" s="346"/>
      <c r="CE42" s="346"/>
      <c r="CF42" s="346"/>
      <c r="CG42" s="346"/>
      <c r="CH42" s="346"/>
      <c r="CI42" s="346"/>
      <c r="CJ42" s="346"/>
      <c r="CK42" s="346"/>
      <c r="CL42" s="346"/>
      <c r="CM42" s="346"/>
      <c r="CN42" s="346"/>
      <c r="CO42" s="301">
        <f t="shared" si="90"/>
        <v>0</v>
      </c>
      <c r="CP42" s="185"/>
      <c r="CQ42" s="185"/>
      <c r="CR42" s="185"/>
      <c r="CS42" s="185"/>
      <c r="CT42" s="185"/>
      <c r="CU42" s="185"/>
      <c r="CV42" s="185"/>
      <c r="CW42" s="185"/>
      <c r="CX42" s="185"/>
      <c r="CY42" s="185"/>
      <c r="CZ42" s="185"/>
      <c r="DA42" s="185"/>
      <c r="DB42" s="185"/>
      <c r="DC42" s="185"/>
      <c r="DD42" s="185"/>
      <c r="DE42" s="185"/>
      <c r="DF42" s="185"/>
      <c r="DG42" s="185"/>
      <c r="DH42" s="185"/>
      <c r="DI42" s="185"/>
      <c r="DJ42" s="185"/>
      <c r="DK42" s="185"/>
      <c r="DL42" s="185"/>
      <c r="DM42" s="185"/>
      <c r="DN42" s="185"/>
      <c r="DO42" s="185"/>
      <c r="DP42" s="185"/>
      <c r="DQ42" s="185"/>
      <c r="DR42" s="185"/>
      <c r="DS42" s="185"/>
      <c r="DT42" s="185"/>
      <c r="DU42" s="185"/>
      <c r="DV42" s="185"/>
      <c r="DW42" s="185"/>
      <c r="DX42" s="185"/>
      <c r="DY42" s="185"/>
      <c r="DZ42" s="185"/>
      <c r="EA42" s="185"/>
      <c r="EB42" s="185"/>
      <c r="EC42" s="185"/>
      <c r="ED42" s="185"/>
      <c r="EE42" s="185"/>
      <c r="EF42" s="185"/>
      <c r="EG42" s="185"/>
      <c r="EH42" s="185"/>
      <c r="EI42" s="185"/>
      <c r="EJ42" s="185"/>
      <c r="EK42" s="185"/>
      <c r="EL42" s="185"/>
      <c r="EM42" s="185"/>
      <c r="EN42" s="185"/>
      <c r="EO42" s="185"/>
      <c r="EP42" s="185"/>
      <c r="EQ42" s="185"/>
      <c r="ER42" s="185"/>
      <c r="ES42" s="185"/>
      <c r="ET42" s="185"/>
      <c r="EU42" s="185"/>
      <c r="EV42" s="185"/>
      <c r="EW42" s="185"/>
      <c r="EX42" s="185"/>
      <c r="EY42" s="185"/>
      <c r="EZ42" s="185"/>
      <c r="FA42" s="185"/>
      <c r="FB42" s="185"/>
      <c r="FC42" s="185"/>
      <c r="FD42" s="185"/>
    </row>
    <row r="43" spans="1:160" ht="14">
      <c r="A43" s="296" t="s">
        <v>298</v>
      </c>
      <c r="B43" s="203"/>
      <c r="C43" s="203"/>
      <c r="D43" s="203"/>
      <c r="E43" s="203"/>
      <c r="F43" s="203"/>
      <c r="G43" s="203"/>
      <c r="H43" s="203"/>
      <c r="I43" s="203"/>
      <c r="J43" s="203"/>
      <c r="K43" s="203"/>
      <c r="L43" s="203"/>
      <c r="M43" s="203"/>
      <c r="N43" s="297"/>
      <c r="O43" s="296" t="s">
        <v>299</v>
      </c>
      <c r="P43" s="337">
        <f>P13</f>
        <v>0</v>
      </c>
      <c r="Q43" s="337">
        <f>Q13</f>
        <v>0</v>
      </c>
      <c r="R43" s="337">
        <f>R13</f>
        <v>0</v>
      </c>
      <c r="S43" s="337">
        <f>S13</f>
        <v>0</v>
      </c>
      <c r="T43" s="337">
        <f>T13</f>
        <v>16000</v>
      </c>
      <c r="U43" s="337">
        <f>U13</f>
        <v>0</v>
      </c>
      <c r="V43" s="337">
        <f>V13</f>
        <v>0</v>
      </c>
      <c r="W43" s="337">
        <f>W13</f>
        <v>0</v>
      </c>
      <c r="X43" s="337">
        <f>X13</f>
        <v>16000</v>
      </c>
      <c r="Y43" s="337">
        <f>23000*2</f>
        <v>46000</v>
      </c>
      <c r="Z43" s="337">
        <f>Z13</f>
        <v>16000</v>
      </c>
      <c r="AA43" s="337">
        <f>AA13</f>
        <v>0</v>
      </c>
      <c r="AB43" s="338">
        <f t="shared" ref="AB43" si="91">SUM(P43:AA43)</f>
        <v>94000</v>
      </c>
      <c r="AC43" s="337">
        <f>AC13</f>
        <v>0</v>
      </c>
      <c r="AD43" s="337">
        <f>AD13</f>
        <v>34000</v>
      </c>
      <c r="AE43" s="337">
        <f>AE13</f>
        <v>17000</v>
      </c>
      <c r="AF43" s="337">
        <f>AF13</f>
        <v>0</v>
      </c>
      <c r="AG43" s="337">
        <f>AG13</f>
        <v>17280</v>
      </c>
      <c r="AH43" s="337">
        <f>AH13</f>
        <v>17280</v>
      </c>
      <c r="AI43" s="337">
        <f>AI13</f>
        <v>34560</v>
      </c>
      <c r="AJ43" s="337">
        <f>AJ13</f>
        <v>17280</v>
      </c>
      <c r="AK43" s="337">
        <f>AK13</f>
        <v>17280</v>
      </c>
      <c r="AL43" s="337">
        <f>AL13</f>
        <v>17280</v>
      </c>
      <c r="AM43" s="337">
        <f>AM13</f>
        <v>17280</v>
      </c>
      <c r="AN43" s="337">
        <f>AN13</f>
        <v>0</v>
      </c>
      <c r="AO43" s="338">
        <f t="shared" ref="AO43" si="92">SUM(AC43:AN43)</f>
        <v>189240</v>
      </c>
      <c r="AP43" s="306">
        <f>AP13</f>
        <v>17280</v>
      </c>
      <c r="AQ43" s="410">
        <f>AQ13</f>
        <v>17280</v>
      </c>
      <c r="AR43" s="410">
        <f>AR13</f>
        <v>17280</v>
      </c>
      <c r="AS43" s="410">
        <f>AS13</f>
        <v>17280</v>
      </c>
      <c r="AT43" s="410">
        <f>AT13</f>
        <v>17280</v>
      </c>
      <c r="AU43" s="410">
        <f>AU13</f>
        <v>17280</v>
      </c>
      <c r="AV43" s="410">
        <f>AV13</f>
        <v>17280</v>
      </c>
      <c r="AW43" s="410">
        <f>AW13</f>
        <v>17280</v>
      </c>
      <c r="AX43" s="410">
        <f>AX13</f>
        <v>17280</v>
      </c>
      <c r="AY43" s="410">
        <f>AY13</f>
        <v>17280</v>
      </c>
      <c r="AZ43" s="410">
        <f>AZ13</f>
        <v>0</v>
      </c>
      <c r="BA43" s="410">
        <f>BA13</f>
        <v>0</v>
      </c>
      <c r="BB43" s="341">
        <f t="shared" ref="BB43" si="93">SUM(AP43:BA43)</f>
        <v>172800</v>
      </c>
      <c r="BC43" s="410">
        <f>BC13</f>
        <v>0</v>
      </c>
      <c r="BD43" s="410">
        <f>BD13</f>
        <v>9000</v>
      </c>
      <c r="BE43" s="410">
        <f>BE13</f>
        <v>9000</v>
      </c>
      <c r="BF43" s="410">
        <f>BF13</f>
        <v>18000</v>
      </c>
      <c r="BG43" s="410">
        <f>BG13</f>
        <v>18000</v>
      </c>
      <c r="BH43" s="410">
        <f>BH13</f>
        <v>18000</v>
      </c>
      <c r="BI43" s="410">
        <f>BI13</f>
        <v>18000</v>
      </c>
      <c r="BJ43" s="410">
        <f>BJ13</f>
        <v>18000</v>
      </c>
      <c r="BK43" s="410">
        <f>BK13</f>
        <v>18000</v>
      </c>
      <c r="BL43" s="410">
        <f>BL13</f>
        <v>18000</v>
      </c>
      <c r="BM43" s="410">
        <f>BM13</f>
        <v>18000</v>
      </c>
      <c r="BN43" s="410">
        <f>BN13</f>
        <v>18000</v>
      </c>
      <c r="BO43" s="341">
        <f t="shared" ref="BO43" si="94">SUM(BC43:BN43)</f>
        <v>180000</v>
      </c>
      <c r="BP43" s="410">
        <f>BP13</f>
        <v>25000</v>
      </c>
      <c r="BQ43" s="410">
        <f>BQ13</f>
        <v>25000</v>
      </c>
      <c r="BR43" s="410">
        <f>BR13</f>
        <v>25000</v>
      </c>
      <c r="BS43" s="410">
        <f>BS13</f>
        <v>25000</v>
      </c>
      <c r="BT43" s="410">
        <f>BT13</f>
        <v>25000</v>
      </c>
      <c r="BU43" s="410">
        <f>BU13</f>
        <v>25000</v>
      </c>
      <c r="BV43" s="410">
        <f>BV13</f>
        <v>25000</v>
      </c>
      <c r="BW43" s="410">
        <f>BW13</f>
        <v>25000</v>
      </c>
      <c r="BX43" s="410">
        <f>BX13</f>
        <v>25000</v>
      </c>
      <c r="BY43" s="410">
        <f>BY13</f>
        <v>25000</v>
      </c>
      <c r="BZ43" s="410">
        <f>BZ13</f>
        <v>25000</v>
      </c>
      <c r="CA43" s="410">
        <f>CA13</f>
        <v>25000</v>
      </c>
      <c r="CB43" s="300">
        <f t="shared" ref="CB43" si="95">SUM(BP43:CA43)</f>
        <v>300000</v>
      </c>
      <c r="CC43" s="410">
        <f>CC13*(CC20)</f>
        <v>8000</v>
      </c>
      <c r="CD43" s="410">
        <f t="shared" ref="CD43:CN43" si="96">CD13*(CD20)</f>
        <v>8000</v>
      </c>
      <c r="CE43" s="410">
        <f t="shared" si="96"/>
        <v>8000</v>
      </c>
      <c r="CF43" s="410">
        <f t="shared" si="96"/>
        <v>8000</v>
      </c>
      <c r="CG43" s="410">
        <f t="shared" si="96"/>
        <v>8000</v>
      </c>
      <c r="CH43" s="410">
        <f t="shared" si="96"/>
        <v>8000</v>
      </c>
      <c r="CI43" s="410">
        <f t="shared" si="96"/>
        <v>8000</v>
      </c>
      <c r="CJ43" s="410">
        <f t="shared" si="96"/>
        <v>8000</v>
      </c>
      <c r="CK43" s="410">
        <f t="shared" si="96"/>
        <v>8000</v>
      </c>
      <c r="CL43" s="410">
        <f t="shared" si="96"/>
        <v>8000</v>
      </c>
      <c r="CM43" s="410">
        <f t="shared" si="96"/>
        <v>8000</v>
      </c>
      <c r="CN43" s="410">
        <f t="shared" si="96"/>
        <v>8000</v>
      </c>
      <c r="CO43" s="300">
        <f t="shared" si="90"/>
        <v>96000</v>
      </c>
      <c r="CP43" s="185"/>
      <c r="CQ43" s="185"/>
      <c r="CR43" s="185"/>
      <c r="CS43" s="185"/>
      <c r="CT43" s="185"/>
      <c r="CU43" s="185"/>
      <c r="CV43" s="185"/>
      <c r="CW43" s="185"/>
      <c r="CX43" s="185"/>
      <c r="CY43" s="185"/>
      <c r="CZ43" s="185"/>
      <c r="DA43" s="185"/>
      <c r="DB43" s="185"/>
      <c r="DC43" s="185"/>
      <c r="DD43" s="185"/>
      <c r="DE43" s="185"/>
      <c r="DF43" s="185"/>
      <c r="DG43" s="185"/>
      <c r="DH43" s="185"/>
      <c r="DI43" s="185"/>
      <c r="DJ43" s="185"/>
      <c r="DK43" s="185"/>
      <c r="DL43" s="185"/>
      <c r="DM43" s="185"/>
      <c r="DN43" s="185"/>
      <c r="DO43" s="185"/>
      <c r="DP43" s="185"/>
      <c r="DQ43" s="185"/>
      <c r="DR43" s="185"/>
      <c r="DS43" s="185"/>
      <c r="DT43" s="185"/>
      <c r="DU43" s="185"/>
      <c r="DV43" s="185"/>
      <c r="DW43" s="185"/>
      <c r="DX43" s="185"/>
      <c r="DY43" s="185"/>
      <c r="DZ43" s="185"/>
      <c r="EA43" s="185"/>
      <c r="EB43" s="185"/>
      <c r="EC43" s="185"/>
      <c r="ED43" s="185"/>
      <c r="EE43" s="185"/>
      <c r="EF43" s="185"/>
      <c r="EG43" s="185"/>
      <c r="EH43" s="185"/>
      <c r="EI43" s="185"/>
      <c r="EJ43" s="185"/>
      <c r="EK43" s="185"/>
      <c r="EL43" s="185"/>
      <c r="EM43" s="185"/>
      <c r="EN43" s="185"/>
      <c r="EO43" s="185"/>
      <c r="EP43" s="185"/>
      <c r="EQ43" s="185"/>
      <c r="ER43" s="185"/>
      <c r="ES43" s="185"/>
      <c r="ET43" s="185"/>
      <c r="EU43" s="185"/>
      <c r="EV43" s="185"/>
      <c r="EW43" s="185"/>
      <c r="EX43" s="185"/>
      <c r="EY43" s="185"/>
      <c r="EZ43" s="185"/>
      <c r="FA43" s="185"/>
      <c r="FB43" s="185"/>
      <c r="FC43" s="185"/>
      <c r="FD43" s="185"/>
    </row>
    <row r="44" spans="1:160" ht="14">
      <c r="A44" s="150" t="s">
        <v>300</v>
      </c>
      <c r="B44" s="174"/>
      <c r="C44" s="174"/>
      <c r="D44" s="174"/>
      <c r="E44" s="174"/>
      <c r="F44" s="174"/>
      <c r="G44" s="174"/>
      <c r="H44" s="174"/>
      <c r="I44" s="174"/>
      <c r="J44" s="174"/>
      <c r="K44" s="174"/>
      <c r="L44" s="174"/>
      <c r="M44" s="174"/>
      <c r="N44" s="175"/>
      <c r="O44" s="150"/>
      <c r="P44" s="344"/>
      <c r="Q44" s="344"/>
      <c r="R44" s="344"/>
      <c r="S44" s="344"/>
      <c r="T44" s="344"/>
      <c r="U44" s="344"/>
      <c r="V44" s="344"/>
      <c r="W44" s="344"/>
      <c r="X44" s="344"/>
      <c r="Y44" s="344"/>
      <c r="Z44" s="344"/>
      <c r="AA44" s="344"/>
      <c r="AB44" s="345"/>
      <c r="AC44" s="344"/>
      <c r="AD44" s="344"/>
      <c r="AE44" s="344"/>
      <c r="AF44" s="344"/>
      <c r="AG44" s="344"/>
      <c r="AH44" s="344"/>
      <c r="AI44" s="344"/>
      <c r="AJ44" s="344"/>
      <c r="AK44" s="344"/>
      <c r="AL44" s="344"/>
      <c r="AM44" s="344"/>
      <c r="AN44" s="344"/>
      <c r="AO44" s="338"/>
      <c r="AP44" s="307"/>
      <c r="AQ44" s="346"/>
      <c r="AR44" s="346"/>
      <c r="AS44" s="346"/>
      <c r="AT44" s="346"/>
      <c r="AU44" s="346"/>
      <c r="AV44" s="346"/>
      <c r="AW44" s="346"/>
      <c r="AX44" s="346"/>
      <c r="AY44" s="346"/>
      <c r="AZ44" s="346"/>
      <c r="BA44" s="346"/>
      <c r="BB44" s="301"/>
      <c r="BC44" s="346"/>
      <c r="BD44" s="346"/>
      <c r="BE44" s="346"/>
      <c r="BF44" s="346"/>
      <c r="BG44" s="346"/>
      <c r="BH44" s="346"/>
      <c r="BI44" s="346"/>
      <c r="BJ44" s="346"/>
      <c r="BK44" s="346"/>
      <c r="BL44" s="346"/>
      <c r="BM44" s="346"/>
      <c r="BN44" s="346"/>
      <c r="BO44" s="301"/>
      <c r="BP44" s="346"/>
      <c r="BQ44" s="346"/>
      <c r="BR44" s="346"/>
      <c r="BS44" s="346"/>
      <c r="BT44" s="346"/>
      <c r="BU44" s="346"/>
      <c r="BV44" s="346"/>
      <c r="BW44" s="346"/>
      <c r="BX44" s="346"/>
      <c r="BY44" s="346"/>
      <c r="BZ44" s="346"/>
      <c r="CA44" s="346"/>
      <c r="CB44" s="301"/>
      <c r="CC44" s="346">
        <f>CC13*SUM(CC21)</f>
        <v>2000</v>
      </c>
      <c r="CD44" s="346">
        <f>CD13*SUM(CD21)</f>
        <v>2000</v>
      </c>
      <c r="CE44" s="346">
        <f>CE13*SUM(CE21)</f>
        <v>2000</v>
      </c>
      <c r="CF44" s="346">
        <f>CF13*SUM(CF21)</f>
        <v>2000</v>
      </c>
      <c r="CG44" s="346">
        <f>CG13*SUM(CG21)</f>
        <v>2000</v>
      </c>
      <c r="CH44" s="346">
        <f>CH13*SUM(CH21)</f>
        <v>2000</v>
      </c>
      <c r="CI44" s="346">
        <f>CI13*SUM(CI21)</f>
        <v>2000</v>
      </c>
      <c r="CJ44" s="346">
        <f>CJ13*SUM(CJ21)</f>
        <v>2000</v>
      </c>
      <c r="CK44" s="346">
        <f>CK13*SUM(CK21)</f>
        <v>2000</v>
      </c>
      <c r="CL44" s="346">
        <f>CL13*SUM(CL21)</f>
        <v>2000</v>
      </c>
      <c r="CM44" s="346">
        <f>CM13*SUM(CM21)</f>
        <v>2000</v>
      </c>
      <c r="CN44" s="346">
        <f>CN13*SUM(CN21)</f>
        <v>2000</v>
      </c>
      <c r="CO44" s="301">
        <f t="shared" si="90"/>
        <v>24000</v>
      </c>
      <c r="CP44" s="185"/>
      <c r="CQ44" s="185"/>
      <c r="CR44" s="185"/>
      <c r="CS44" s="185"/>
      <c r="CT44" s="185"/>
      <c r="CU44" s="185"/>
      <c r="CV44" s="185"/>
      <c r="CW44" s="185"/>
      <c r="CX44" s="185"/>
      <c r="CY44" s="185"/>
      <c r="CZ44" s="185"/>
      <c r="DA44" s="185"/>
      <c r="DB44" s="185"/>
      <c r="DC44" s="185"/>
      <c r="DD44" s="185"/>
      <c r="DE44" s="185"/>
      <c r="DF44" s="185"/>
      <c r="DG44" s="185"/>
      <c r="DH44" s="185"/>
      <c r="DI44" s="185"/>
      <c r="DJ44" s="185"/>
      <c r="DK44" s="185"/>
      <c r="DL44" s="185"/>
      <c r="DM44" s="185"/>
      <c r="DN44" s="185"/>
      <c r="DO44" s="185"/>
      <c r="DP44" s="185"/>
      <c r="DQ44" s="185"/>
      <c r="DR44" s="185"/>
      <c r="DS44" s="185"/>
      <c r="DT44" s="185"/>
      <c r="DU44" s="185"/>
      <c r="DV44" s="185"/>
      <c r="DW44" s="185"/>
      <c r="DX44" s="185"/>
      <c r="DY44" s="185"/>
      <c r="DZ44" s="185"/>
      <c r="EA44" s="185"/>
      <c r="EB44" s="185"/>
      <c r="EC44" s="185"/>
      <c r="ED44" s="185"/>
      <c r="EE44" s="185"/>
      <c r="EF44" s="185"/>
      <c r="EG44" s="185"/>
      <c r="EH44" s="185"/>
      <c r="EI44" s="185"/>
      <c r="EJ44" s="185"/>
      <c r="EK44" s="185"/>
      <c r="EL44" s="185"/>
      <c r="EM44" s="185"/>
      <c r="EN44" s="185"/>
      <c r="EO44" s="185"/>
      <c r="EP44" s="185"/>
      <c r="EQ44" s="185"/>
      <c r="ER44" s="185"/>
      <c r="ES44" s="185"/>
      <c r="ET44" s="185"/>
      <c r="EU44" s="185"/>
      <c r="EV44" s="185"/>
      <c r="EW44" s="185"/>
      <c r="EX44" s="185"/>
      <c r="EY44" s="185"/>
      <c r="EZ44" s="185"/>
      <c r="FA44" s="185"/>
      <c r="FB44" s="185"/>
      <c r="FC44" s="185"/>
      <c r="FD44" s="185"/>
    </row>
    <row r="45" spans="1:160" ht="14">
      <c r="A45" s="296" t="s">
        <v>301</v>
      </c>
      <c r="B45" s="203"/>
      <c r="C45" s="203"/>
      <c r="D45" s="203"/>
      <c r="E45" s="203"/>
      <c r="F45" s="203"/>
      <c r="G45" s="203"/>
      <c r="H45" s="203"/>
      <c r="I45" s="203"/>
      <c r="J45" s="203"/>
      <c r="K45" s="203"/>
      <c r="L45" s="203"/>
      <c r="M45" s="203"/>
      <c r="N45" s="297"/>
      <c r="O45" s="296"/>
      <c r="P45" s="337"/>
      <c r="Q45" s="337"/>
      <c r="R45" s="337"/>
      <c r="S45" s="337"/>
      <c r="T45" s="337"/>
      <c r="U45" s="337"/>
      <c r="V45" s="337"/>
      <c r="W45" s="337"/>
      <c r="X45" s="337"/>
      <c r="Y45" s="337"/>
      <c r="Z45" s="337"/>
      <c r="AA45" s="337"/>
      <c r="AB45" s="338"/>
      <c r="AC45" s="337"/>
      <c r="AD45" s="337"/>
      <c r="AE45" s="337"/>
      <c r="AF45" s="337"/>
      <c r="AG45" s="337"/>
      <c r="AH45" s="337"/>
      <c r="AI45" s="337"/>
      <c r="AJ45" s="337"/>
      <c r="AK45" s="337"/>
      <c r="AL45" s="337"/>
      <c r="AM45" s="337"/>
      <c r="AN45" s="337"/>
      <c r="AO45" s="338"/>
      <c r="AP45" s="306"/>
      <c r="AQ45" s="410"/>
      <c r="AR45" s="410"/>
      <c r="AS45" s="410"/>
      <c r="AT45" s="410"/>
      <c r="AU45" s="410"/>
      <c r="AV45" s="410"/>
      <c r="AW45" s="410"/>
      <c r="AX45" s="410"/>
      <c r="AY45" s="410"/>
      <c r="AZ45" s="410"/>
      <c r="BA45" s="410"/>
      <c r="BB45" s="341"/>
      <c r="BC45" s="410"/>
      <c r="BD45" s="410"/>
      <c r="BE45" s="410"/>
      <c r="BF45" s="410"/>
      <c r="BG45" s="410"/>
      <c r="BH45" s="410"/>
      <c r="BI45" s="410"/>
      <c r="BJ45" s="410"/>
      <c r="BK45" s="410"/>
      <c r="BL45" s="410"/>
      <c r="BM45" s="410"/>
      <c r="BN45" s="410"/>
      <c r="BO45" s="341"/>
      <c r="BP45" s="410"/>
      <c r="BQ45" s="410"/>
      <c r="BR45" s="410"/>
      <c r="BS45" s="410"/>
      <c r="BT45" s="410"/>
      <c r="BU45" s="410"/>
      <c r="BV45" s="410"/>
      <c r="BW45" s="410"/>
      <c r="BX45" s="410"/>
      <c r="BY45" s="410"/>
      <c r="BZ45" s="410"/>
      <c r="CA45" s="410"/>
      <c r="CB45" s="300"/>
      <c r="CC45" s="411">
        <f>CC13*SUM(CC22)</f>
        <v>2000</v>
      </c>
      <c r="CD45" s="410">
        <f>CD13*SUM(CD22)</f>
        <v>2000</v>
      </c>
      <c r="CE45" s="410">
        <f>CE13*SUM(CE22)</f>
        <v>2000</v>
      </c>
      <c r="CF45" s="410">
        <f>CF13*SUM(CF22)</f>
        <v>2000</v>
      </c>
      <c r="CG45" s="410">
        <f>CG13*SUM(CG22)</f>
        <v>2000</v>
      </c>
      <c r="CH45" s="410">
        <f>CH13*SUM(CH22)</f>
        <v>2000</v>
      </c>
      <c r="CI45" s="410">
        <f>CI13*SUM(CI22)</f>
        <v>2000</v>
      </c>
      <c r="CJ45" s="410">
        <f>CJ13*SUM(CJ22)</f>
        <v>2000</v>
      </c>
      <c r="CK45" s="410">
        <f>CK13*SUM(CK22)</f>
        <v>2000</v>
      </c>
      <c r="CL45" s="410">
        <f>CL13*SUM(CL22)</f>
        <v>2000</v>
      </c>
      <c r="CM45" s="410">
        <f>CM13*SUM(CM22)</f>
        <v>2000</v>
      </c>
      <c r="CN45" s="410">
        <f>CN13*SUM(CN22)</f>
        <v>2000</v>
      </c>
      <c r="CO45" s="300">
        <f t="shared" si="90"/>
        <v>24000</v>
      </c>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c r="DP45" s="185"/>
      <c r="DQ45" s="185"/>
      <c r="DR45" s="185"/>
      <c r="DS45" s="185"/>
      <c r="DT45" s="185"/>
      <c r="DU45" s="185"/>
      <c r="DV45" s="185"/>
      <c r="DW45" s="185"/>
      <c r="DX45" s="185"/>
      <c r="DY45" s="185"/>
      <c r="DZ45" s="185"/>
      <c r="EA45" s="185"/>
      <c r="EB45" s="185"/>
      <c r="EC45" s="185"/>
      <c r="ED45" s="185"/>
      <c r="EE45" s="185"/>
      <c r="EF45" s="185"/>
      <c r="EG45" s="185"/>
      <c r="EH45" s="185"/>
      <c r="EI45" s="185"/>
      <c r="EJ45" s="185"/>
      <c r="EK45" s="185"/>
      <c r="EL45" s="185"/>
      <c r="EM45" s="185"/>
      <c r="EN45" s="185"/>
      <c r="EO45" s="185"/>
      <c r="EP45" s="185"/>
      <c r="EQ45" s="185"/>
      <c r="ER45" s="185"/>
      <c r="ES45" s="185"/>
      <c r="ET45" s="185"/>
      <c r="EU45" s="185"/>
      <c r="EV45" s="185"/>
      <c r="EW45" s="185"/>
      <c r="EX45" s="185"/>
      <c r="EY45" s="185"/>
      <c r="EZ45" s="185"/>
      <c r="FA45" s="185"/>
      <c r="FB45" s="185"/>
      <c r="FC45" s="185"/>
      <c r="FD45" s="185"/>
    </row>
    <row r="46" spans="1:160" ht="14">
      <c r="A46" s="296"/>
      <c r="B46" s="203"/>
      <c r="C46" s="203"/>
      <c r="D46" s="203"/>
      <c r="E46" s="203"/>
      <c r="F46" s="203"/>
      <c r="G46" s="203"/>
      <c r="H46" s="203"/>
      <c r="I46" s="203"/>
      <c r="J46" s="203"/>
      <c r="K46" s="203"/>
      <c r="L46" s="203"/>
      <c r="M46" s="203"/>
      <c r="N46" s="206"/>
      <c r="O46" s="296"/>
      <c r="P46" s="167"/>
      <c r="Q46" s="167"/>
      <c r="R46" s="167"/>
      <c r="S46" s="167"/>
      <c r="T46" s="167"/>
      <c r="U46" s="167"/>
      <c r="V46" s="167"/>
      <c r="W46" s="167"/>
      <c r="X46" s="167"/>
      <c r="Y46" s="167"/>
      <c r="Z46" s="167"/>
      <c r="AA46" s="167"/>
      <c r="AB46" s="412"/>
      <c r="AC46" s="167"/>
      <c r="AD46" s="167"/>
      <c r="AE46" s="167"/>
      <c r="AF46" s="167"/>
      <c r="AG46" s="167"/>
      <c r="AH46" s="167"/>
      <c r="AI46" s="167"/>
      <c r="AJ46" s="167"/>
      <c r="AK46" s="167"/>
      <c r="AL46" s="167"/>
      <c r="AM46" s="167"/>
      <c r="AN46" s="167"/>
      <c r="AO46" s="412"/>
      <c r="AP46" s="167"/>
      <c r="AQ46" s="413"/>
      <c r="AR46" s="413"/>
      <c r="AS46" s="413"/>
      <c r="AT46" s="413"/>
      <c r="AU46" s="413"/>
      <c r="AV46" s="413"/>
      <c r="AW46" s="413"/>
      <c r="AX46" s="413"/>
      <c r="AY46" s="413"/>
      <c r="AZ46" s="413"/>
      <c r="BA46" s="413"/>
      <c r="BB46" s="75"/>
      <c r="BC46" s="413"/>
      <c r="BD46" s="410"/>
      <c r="BE46" s="410"/>
      <c r="BF46" s="410"/>
      <c r="BG46" s="410"/>
      <c r="BH46" s="410"/>
      <c r="BI46" s="410"/>
      <c r="BJ46" s="410"/>
      <c r="BK46" s="410"/>
      <c r="BL46" s="410"/>
      <c r="BM46" s="410"/>
      <c r="BN46" s="410"/>
      <c r="BO46" s="341"/>
      <c r="BP46" s="410"/>
      <c r="BQ46" s="410"/>
      <c r="BR46" s="410"/>
      <c r="BS46" s="410"/>
      <c r="BT46" s="410"/>
      <c r="BU46" s="410"/>
      <c r="BV46" s="410"/>
      <c r="BW46" s="410"/>
      <c r="BX46" s="410"/>
      <c r="BY46" s="410"/>
      <c r="BZ46" s="410"/>
      <c r="CA46" s="410"/>
      <c r="CB46" s="300"/>
      <c r="CC46" s="410"/>
      <c r="CD46" s="410"/>
      <c r="CE46" s="410"/>
      <c r="CF46" s="410"/>
      <c r="CG46" s="410"/>
      <c r="CH46" s="410"/>
      <c r="CI46" s="410"/>
      <c r="CJ46" s="410"/>
      <c r="CK46" s="410"/>
      <c r="CL46" s="410"/>
      <c r="CM46" s="410"/>
      <c r="CN46" s="410"/>
      <c r="CO46" s="300"/>
      <c r="CP46" s="185"/>
      <c r="CQ46" s="185"/>
      <c r="CR46" s="185"/>
      <c r="CS46" s="185"/>
      <c r="CT46" s="185"/>
      <c r="CU46" s="185"/>
      <c r="CV46" s="185"/>
      <c r="CW46" s="185"/>
      <c r="CX46" s="185"/>
      <c r="CY46" s="185"/>
      <c r="CZ46" s="185"/>
      <c r="DA46" s="185"/>
      <c r="DB46" s="185"/>
      <c r="DC46" s="185"/>
      <c r="DD46" s="185"/>
      <c r="DE46" s="185"/>
      <c r="DF46" s="185"/>
      <c r="DG46" s="185"/>
      <c r="DH46" s="185"/>
      <c r="DI46" s="185"/>
      <c r="DJ46" s="185"/>
      <c r="DK46" s="185"/>
      <c r="DL46" s="185"/>
      <c r="DM46" s="185"/>
      <c r="DN46" s="185"/>
      <c r="DO46" s="185"/>
      <c r="DP46" s="185"/>
      <c r="DQ46" s="185"/>
      <c r="DR46" s="185"/>
      <c r="DS46" s="185"/>
      <c r="DT46" s="185"/>
      <c r="DU46" s="185"/>
      <c r="DV46" s="185"/>
      <c r="DW46" s="185"/>
      <c r="DX46" s="185"/>
      <c r="DY46" s="185"/>
      <c r="DZ46" s="185"/>
      <c r="EA46" s="185"/>
      <c r="EB46" s="185"/>
      <c r="EC46" s="185"/>
      <c r="ED46" s="185"/>
      <c r="EE46" s="185"/>
      <c r="EF46" s="185"/>
      <c r="EG46" s="185"/>
      <c r="EH46" s="185"/>
      <c r="EI46" s="185"/>
      <c r="EJ46" s="185"/>
      <c r="EK46" s="185"/>
      <c r="EL46" s="185"/>
      <c r="EM46" s="185"/>
      <c r="EN46" s="185"/>
      <c r="EO46" s="185"/>
      <c r="EP46" s="185"/>
      <c r="EQ46" s="185"/>
      <c r="ER46" s="185"/>
      <c r="ES46" s="185"/>
      <c r="ET46" s="185"/>
      <c r="EU46" s="185"/>
      <c r="EV46" s="185"/>
      <c r="EW46" s="185"/>
      <c r="EX46" s="185"/>
      <c r="EY46" s="185"/>
      <c r="EZ46" s="185"/>
      <c r="FA46" s="185"/>
      <c r="FB46" s="185"/>
      <c r="FC46" s="185"/>
      <c r="FD46" s="185"/>
    </row>
    <row r="47" spans="1:160" ht="14">
      <c r="A47" s="150"/>
      <c r="B47" s="174"/>
      <c r="C47" s="174"/>
      <c r="D47" s="174"/>
      <c r="E47" s="174"/>
      <c r="F47" s="174"/>
      <c r="G47" s="174"/>
      <c r="H47" s="174"/>
      <c r="I47" s="174"/>
      <c r="J47" s="174"/>
      <c r="K47" s="174"/>
      <c r="L47" s="174"/>
      <c r="M47" s="174"/>
      <c r="N47" s="175"/>
      <c r="O47" s="150"/>
      <c r="P47" s="344"/>
      <c r="Q47" s="344"/>
      <c r="R47" s="344"/>
      <c r="S47" s="344"/>
      <c r="T47" s="344"/>
      <c r="U47" s="344"/>
      <c r="V47" s="344"/>
      <c r="W47" s="344"/>
      <c r="X47" s="344"/>
      <c r="Y47" s="344"/>
      <c r="Z47" s="344"/>
      <c r="AA47" s="344"/>
      <c r="AB47" s="345"/>
      <c r="AC47" s="344"/>
      <c r="AD47" s="344"/>
      <c r="AE47" s="344"/>
      <c r="AF47" s="344"/>
      <c r="AG47" s="344"/>
      <c r="AH47" s="344"/>
      <c r="AI47" s="344"/>
      <c r="AJ47" s="344"/>
      <c r="AK47" s="344"/>
      <c r="AL47" s="344"/>
      <c r="AM47" s="344"/>
      <c r="AN47" s="344"/>
      <c r="AO47" s="338"/>
      <c r="AP47" s="307"/>
      <c r="AQ47" s="346"/>
      <c r="AR47" s="346"/>
      <c r="AS47" s="346"/>
      <c r="AT47" s="346"/>
      <c r="AU47" s="346"/>
      <c r="AV47" s="346"/>
      <c r="AW47" s="346"/>
      <c r="AX47" s="346"/>
      <c r="AY47" s="346"/>
      <c r="AZ47" s="346"/>
      <c r="BA47" s="346"/>
      <c r="BB47" s="301"/>
      <c r="BC47" s="346"/>
      <c r="BD47" s="346"/>
      <c r="BE47" s="346"/>
      <c r="BF47" s="346"/>
      <c r="BG47" s="346"/>
      <c r="BH47" s="346"/>
      <c r="BI47" s="346"/>
      <c r="BJ47" s="346"/>
      <c r="BK47" s="346"/>
      <c r="BL47" s="346"/>
      <c r="BM47" s="346"/>
      <c r="BN47" s="346"/>
      <c r="BO47" s="301"/>
      <c r="BP47" s="346"/>
      <c r="BQ47" s="346"/>
      <c r="BR47" s="346"/>
      <c r="BS47" s="346"/>
      <c r="BT47" s="346"/>
      <c r="BU47" s="346"/>
      <c r="BV47" s="346"/>
      <c r="BW47" s="346"/>
      <c r="BX47" s="346"/>
      <c r="BY47" s="346"/>
      <c r="BZ47" s="346"/>
      <c r="CA47" s="346"/>
      <c r="CB47" s="301"/>
      <c r="CC47" s="346"/>
      <c r="CD47" s="346"/>
      <c r="CE47" s="346"/>
      <c r="CF47" s="346"/>
      <c r="CG47" s="346"/>
      <c r="CH47" s="346"/>
      <c r="CI47" s="346"/>
      <c r="CJ47" s="346"/>
      <c r="CK47" s="346"/>
      <c r="CL47" s="346"/>
      <c r="CM47" s="346"/>
      <c r="CN47" s="346"/>
      <c r="CO47" s="301">
        <f t="shared" ref="CO47:CO48" si="97">SUM(CC47:CN47)</f>
        <v>0</v>
      </c>
      <c r="CP47" s="185"/>
      <c r="CQ47" s="185"/>
      <c r="CR47" s="185"/>
      <c r="CS47" s="185"/>
      <c r="CT47" s="185"/>
      <c r="CU47" s="185"/>
      <c r="CV47" s="185"/>
      <c r="CW47" s="185"/>
      <c r="CX47" s="185"/>
      <c r="CY47" s="185"/>
      <c r="CZ47" s="185"/>
      <c r="DA47" s="185"/>
      <c r="DB47" s="185"/>
      <c r="DC47" s="185"/>
      <c r="DD47" s="185"/>
      <c r="DE47" s="185"/>
      <c r="DF47" s="185"/>
      <c r="DG47" s="185"/>
      <c r="DH47" s="185"/>
      <c r="DI47" s="185"/>
      <c r="DJ47" s="185"/>
      <c r="DK47" s="185"/>
      <c r="DL47" s="185"/>
      <c r="DM47" s="185"/>
      <c r="DN47" s="185"/>
      <c r="DO47" s="185"/>
      <c r="DP47" s="185"/>
      <c r="DQ47" s="185"/>
      <c r="DR47" s="185"/>
      <c r="DS47" s="185"/>
      <c r="DT47" s="185"/>
      <c r="DU47" s="185"/>
      <c r="DV47" s="185"/>
      <c r="DW47" s="185"/>
      <c r="DX47" s="185"/>
      <c r="DY47" s="185"/>
      <c r="DZ47" s="185"/>
      <c r="EA47" s="185"/>
      <c r="EB47" s="185"/>
      <c r="EC47" s="185"/>
      <c r="ED47" s="185"/>
      <c r="EE47" s="185"/>
      <c r="EF47" s="185"/>
      <c r="EG47" s="185"/>
      <c r="EH47" s="185"/>
      <c r="EI47" s="185"/>
      <c r="EJ47" s="185"/>
      <c r="EK47" s="185"/>
      <c r="EL47" s="185"/>
      <c r="EM47" s="185"/>
      <c r="EN47" s="185"/>
      <c r="EO47" s="185"/>
      <c r="EP47" s="185"/>
      <c r="EQ47" s="185"/>
      <c r="ER47" s="185"/>
      <c r="ES47" s="185"/>
      <c r="ET47" s="185"/>
      <c r="EU47" s="185"/>
      <c r="EV47" s="185"/>
      <c r="EW47" s="185"/>
      <c r="EX47" s="185"/>
      <c r="EY47" s="185"/>
      <c r="EZ47" s="185"/>
      <c r="FA47" s="185"/>
      <c r="FB47" s="185"/>
      <c r="FC47" s="185"/>
      <c r="FD47" s="185"/>
    </row>
    <row r="48" spans="1:160" ht="14">
      <c r="A48" s="296" t="s">
        <v>302</v>
      </c>
      <c r="B48" s="203"/>
      <c r="C48" s="203"/>
      <c r="D48" s="203"/>
      <c r="E48" s="203"/>
      <c r="F48" s="203"/>
      <c r="G48" s="203"/>
      <c r="H48" s="203"/>
      <c r="I48" s="203"/>
      <c r="J48" s="203"/>
      <c r="K48" s="203"/>
      <c r="L48" s="203"/>
      <c r="M48" s="203"/>
      <c r="N48" s="297"/>
      <c r="O48" s="296" t="s">
        <v>303</v>
      </c>
      <c r="P48" s="337">
        <v>0</v>
      </c>
      <c r="Q48" s="337">
        <v>0</v>
      </c>
      <c r="R48" s="337"/>
      <c r="S48" s="337">
        <v>-21000</v>
      </c>
      <c r="T48" s="337">
        <v>-24500</v>
      </c>
      <c r="U48" s="337">
        <v>-24500</v>
      </c>
      <c r="V48" s="337">
        <v>-24500</v>
      </c>
      <c r="W48" s="337">
        <v>-24500</v>
      </c>
      <c r="X48" s="337">
        <v>-24500</v>
      </c>
      <c r="Y48" s="337">
        <v>-24500</v>
      </c>
      <c r="Z48" s="337">
        <v>-24500</v>
      </c>
      <c r="AA48" s="337">
        <v>-24500</v>
      </c>
      <c r="AB48" s="338">
        <f t="shared" ref="AB48:AB49" si="98">SUM(P48:AA48)</f>
        <v>-217000</v>
      </c>
      <c r="AC48" s="337">
        <v>0</v>
      </c>
      <c r="AD48" s="337">
        <v>0</v>
      </c>
      <c r="AE48" s="337">
        <v>0</v>
      </c>
      <c r="AF48" s="337">
        <v>0</v>
      </c>
      <c r="AG48" s="337">
        <v>0</v>
      </c>
      <c r="AH48" s="337">
        <v>0</v>
      </c>
      <c r="AI48" s="337">
        <v>0</v>
      </c>
      <c r="AJ48" s="337">
        <v>0</v>
      </c>
      <c r="AK48" s="337">
        <v>0</v>
      </c>
      <c r="AL48" s="337">
        <v>0</v>
      </c>
      <c r="AM48" s="337">
        <v>0</v>
      </c>
      <c r="AN48" s="337">
        <v>0</v>
      </c>
      <c r="AO48" s="338">
        <f t="shared" ref="AO48" si="99">SUM(AC48:AN48)</f>
        <v>0</v>
      </c>
      <c r="AP48" s="306">
        <f>8000*3</f>
        <v>24000</v>
      </c>
      <c r="AQ48" s="410"/>
      <c r="AR48" s="410"/>
      <c r="AS48" s="410"/>
      <c r="AT48" s="410"/>
      <c r="AU48" s="410"/>
      <c r="AV48" s="410"/>
      <c r="AW48" s="410">
        <v>9000</v>
      </c>
      <c r="AX48" s="410"/>
      <c r="AY48" s="410"/>
      <c r="AZ48" s="410"/>
      <c r="BA48" s="410"/>
      <c r="BB48" s="341"/>
      <c r="BC48" s="410">
        <v>0</v>
      </c>
      <c r="BD48" s="410">
        <f>BD16</f>
        <v>0</v>
      </c>
      <c r="BE48" s="410">
        <f>BE16</f>
        <v>7500</v>
      </c>
      <c r="BF48" s="410">
        <f>BF16</f>
        <v>0</v>
      </c>
      <c r="BG48" s="410">
        <f>BG16</f>
        <v>7500</v>
      </c>
      <c r="BH48" s="410">
        <f>BH16</f>
        <v>0</v>
      </c>
      <c r="BI48" s="410">
        <f>BI16</f>
        <v>7500</v>
      </c>
      <c r="BJ48" s="410">
        <f>BJ16</f>
        <v>0</v>
      </c>
      <c r="BK48" s="410">
        <f>BK16</f>
        <v>7500</v>
      </c>
      <c r="BL48" s="410">
        <f>BL16</f>
        <v>0</v>
      </c>
      <c r="BM48" s="410">
        <f>BM16</f>
        <v>7500</v>
      </c>
      <c r="BN48" s="410">
        <f>BN16</f>
        <v>0</v>
      </c>
      <c r="BO48" s="341">
        <f t="shared" ref="BO48" si="100">SUM(BC48:BN48)</f>
        <v>37500</v>
      </c>
      <c r="BP48" s="410">
        <f>BP16</f>
        <v>0</v>
      </c>
      <c r="BQ48" s="410">
        <f>BQ16</f>
        <v>35000</v>
      </c>
      <c r="BR48" s="410">
        <f>BR16</f>
        <v>0</v>
      </c>
      <c r="BS48" s="410">
        <f>BS16</f>
        <v>0</v>
      </c>
      <c r="BT48" s="410">
        <f>BT16</f>
        <v>0</v>
      </c>
      <c r="BU48" s="410">
        <f>BU16</f>
        <v>0</v>
      </c>
      <c r="BV48" s="410">
        <f>BV16</f>
        <v>0</v>
      </c>
      <c r="BW48" s="410">
        <f>BW16</f>
        <v>0</v>
      </c>
      <c r="BX48" s="410">
        <f>BX16</f>
        <v>0</v>
      </c>
      <c r="BY48" s="410">
        <f>BY16</f>
        <v>0</v>
      </c>
      <c r="BZ48" s="410">
        <f>BZ16</f>
        <v>0</v>
      </c>
      <c r="CA48" s="410">
        <f>CA16</f>
        <v>0</v>
      </c>
      <c r="CB48" s="300">
        <f t="shared" ref="CB48" si="101">SUM(BP48:CA48)</f>
        <v>35000</v>
      </c>
      <c r="CC48" s="410"/>
      <c r="CD48" s="410"/>
      <c r="CE48" s="410"/>
      <c r="CF48" s="410"/>
      <c r="CG48" s="410"/>
      <c r="CH48" s="410"/>
      <c r="CI48" s="410"/>
      <c r="CJ48" s="410"/>
      <c r="CK48" s="410"/>
      <c r="CL48" s="410"/>
      <c r="CM48" s="410"/>
      <c r="CN48" s="410"/>
      <c r="CO48" s="300">
        <f t="shared" si="97"/>
        <v>0</v>
      </c>
      <c r="CP48" s="185"/>
      <c r="CQ48" s="185"/>
      <c r="CR48" s="185"/>
      <c r="CS48" s="185"/>
      <c r="CT48" s="185"/>
      <c r="CU48" s="185"/>
      <c r="CV48" s="185"/>
      <c r="CW48" s="185"/>
      <c r="CX48" s="185"/>
      <c r="CY48" s="185"/>
      <c r="CZ48" s="185"/>
      <c r="DA48" s="185"/>
      <c r="DB48" s="185"/>
      <c r="DC48" s="185"/>
      <c r="DD48" s="185"/>
      <c r="DE48" s="185"/>
      <c r="DF48" s="185"/>
      <c r="DG48" s="185"/>
      <c r="DH48" s="185"/>
      <c r="DI48" s="185"/>
      <c r="DJ48" s="185"/>
      <c r="DK48" s="185"/>
      <c r="DL48" s="185"/>
      <c r="DM48" s="185"/>
      <c r="DN48" s="185"/>
      <c r="DO48" s="185"/>
      <c r="DP48" s="185"/>
      <c r="DQ48" s="185"/>
      <c r="DR48" s="185"/>
      <c r="DS48" s="185"/>
      <c r="DT48" s="185"/>
      <c r="DU48" s="185"/>
      <c r="DV48" s="185"/>
      <c r="DW48" s="185"/>
      <c r="DX48" s="185"/>
      <c r="DY48" s="185"/>
      <c r="DZ48" s="185"/>
      <c r="EA48" s="185"/>
      <c r="EB48" s="185"/>
      <c r="EC48" s="185"/>
      <c r="ED48" s="185"/>
      <c r="EE48" s="185"/>
      <c r="EF48" s="185"/>
      <c r="EG48" s="185"/>
      <c r="EH48" s="185"/>
      <c r="EI48" s="185"/>
      <c r="EJ48" s="185"/>
      <c r="EK48" s="185"/>
      <c r="EL48" s="185"/>
      <c r="EM48" s="185"/>
      <c r="EN48" s="185"/>
      <c r="EO48" s="185"/>
      <c r="EP48" s="185"/>
      <c r="EQ48" s="185"/>
      <c r="ER48" s="185"/>
      <c r="ES48" s="185"/>
      <c r="ET48" s="185"/>
      <c r="EU48" s="185"/>
      <c r="EV48" s="185"/>
      <c r="EW48" s="185"/>
      <c r="EX48" s="185"/>
      <c r="EY48" s="185"/>
      <c r="EZ48" s="185"/>
      <c r="FA48" s="185"/>
      <c r="FB48" s="185"/>
      <c r="FC48" s="185"/>
      <c r="FD48" s="185"/>
    </row>
    <row r="49" spans="1:160" ht="14">
      <c r="A49" s="414" t="s">
        <v>304</v>
      </c>
      <c r="B49" s="415"/>
      <c r="C49" s="415"/>
      <c r="D49" s="415"/>
      <c r="E49" s="415"/>
      <c r="F49" s="415"/>
      <c r="G49" s="415"/>
      <c r="H49" s="415"/>
      <c r="I49" s="415"/>
      <c r="J49" s="415"/>
      <c r="K49" s="415"/>
      <c r="L49" s="415"/>
      <c r="M49" s="415"/>
      <c r="N49" s="416"/>
      <c r="O49" s="414" t="s">
        <v>305</v>
      </c>
      <c r="P49" s="417" t="e">
        <f>SUM(P31:P48)</f>
        <v>#REF!</v>
      </c>
      <c r="Q49" s="417" t="e">
        <f t="shared" ref="Q49:AA49" si="102">SUM(Q31:Q47)</f>
        <v>#REF!</v>
      </c>
      <c r="R49" s="417" t="e">
        <f t="shared" si="102"/>
        <v>#REF!</v>
      </c>
      <c r="S49" s="417" t="e">
        <f t="shared" si="102"/>
        <v>#REF!</v>
      </c>
      <c r="T49" s="417" t="e">
        <f t="shared" si="102"/>
        <v>#REF!</v>
      </c>
      <c r="U49" s="417" t="e">
        <f t="shared" si="102"/>
        <v>#REF!</v>
      </c>
      <c r="V49" s="417" t="e">
        <f t="shared" si="102"/>
        <v>#REF!</v>
      </c>
      <c r="W49" s="417" t="e">
        <f t="shared" si="102"/>
        <v>#REF!</v>
      </c>
      <c r="X49" s="417" t="e">
        <f t="shared" si="102"/>
        <v>#REF!</v>
      </c>
      <c r="Y49" s="417" t="e">
        <f t="shared" si="102"/>
        <v>#REF!</v>
      </c>
      <c r="Z49" s="417" t="e">
        <f t="shared" si="102"/>
        <v>#REF!</v>
      </c>
      <c r="AA49" s="417" t="e">
        <f t="shared" si="102"/>
        <v>#REF!</v>
      </c>
      <c r="AB49" s="418" t="e">
        <f t="shared" si="98"/>
        <v>#REF!</v>
      </c>
      <c r="AC49" s="417" t="e">
        <f t="shared" ref="AC49:BB49" si="103">SUM(AC31:AC47)</f>
        <v>#REF!</v>
      </c>
      <c r="AD49" s="417" t="e">
        <f t="shared" si="103"/>
        <v>#REF!</v>
      </c>
      <c r="AE49" s="417" t="e">
        <f t="shared" si="103"/>
        <v>#REF!</v>
      </c>
      <c r="AF49" s="417" t="e">
        <f t="shared" si="103"/>
        <v>#REF!</v>
      </c>
      <c r="AG49" s="417" t="e">
        <f t="shared" si="103"/>
        <v>#REF!</v>
      </c>
      <c r="AH49" s="417" t="e">
        <f t="shared" si="103"/>
        <v>#REF!</v>
      </c>
      <c r="AI49" s="417" t="e">
        <f t="shared" si="103"/>
        <v>#REF!</v>
      </c>
      <c r="AJ49" s="417" t="e">
        <f t="shared" si="103"/>
        <v>#REF!</v>
      </c>
      <c r="AK49" s="417" t="e">
        <f t="shared" si="103"/>
        <v>#REF!</v>
      </c>
      <c r="AL49" s="417" t="e">
        <f t="shared" si="103"/>
        <v>#REF!</v>
      </c>
      <c r="AM49" s="417" t="e">
        <f t="shared" si="103"/>
        <v>#REF!</v>
      </c>
      <c r="AN49" s="417" t="e">
        <f t="shared" si="103"/>
        <v>#REF!</v>
      </c>
      <c r="AO49" s="417" t="e">
        <f t="shared" si="103"/>
        <v>#REF!</v>
      </c>
      <c r="AP49" s="419" t="e">
        <f t="shared" si="103"/>
        <v>#REF!</v>
      </c>
      <c r="AQ49" s="417" t="e">
        <f t="shared" si="103"/>
        <v>#REF!</v>
      </c>
      <c r="AR49" s="417" t="e">
        <f t="shared" si="103"/>
        <v>#REF!</v>
      </c>
      <c r="AS49" s="417" t="e">
        <f t="shared" si="103"/>
        <v>#REF!</v>
      </c>
      <c r="AT49" s="417" t="e">
        <f t="shared" si="103"/>
        <v>#REF!</v>
      </c>
      <c r="AU49" s="417" t="e">
        <f t="shared" si="103"/>
        <v>#REF!</v>
      </c>
      <c r="AV49" s="417" t="e">
        <f t="shared" si="103"/>
        <v>#REF!</v>
      </c>
      <c r="AW49" s="417" t="e">
        <f t="shared" si="103"/>
        <v>#REF!</v>
      </c>
      <c r="AX49" s="417" t="e">
        <f t="shared" si="103"/>
        <v>#REF!</v>
      </c>
      <c r="AY49" s="417" t="e">
        <f t="shared" si="103"/>
        <v>#REF!</v>
      </c>
      <c r="AZ49" s="417" t="e">
        <f t="shared" si="103"/>
        <v>#REF!</v>
      </c>
      <c r="BA49" s="417" t="e">
        <f t="shared" si="103"/>
        <v>#REF!</v>
      </c>
      <c r="BB49" s="417" t="e">
        <f t="shared" si="103"/>
        <v>#REF!</v>
      </c>
      <c r="BC49" s="417" t="e">
        <f t="shared" ref="BC49:CO49" si="104">SUM(BC31:BC48)</f>
        <v>#REF!</v>
      </c>
      <c r="BD49" s="417" t="e">
        <f t="shared" si="104"/>
        <v>#REF!</v>
      </c>
      <c r="BE49" s="417" t="e">
        <f t="shared" si="104"/>
        <v>#REF!</v>
      </c>
      <c r="BF49" s="417" t="e">
        <f t="shared" si="104"/>
        <v>#REF!</v>
      </c>
      <c r="BG49" s="417" t="e">
        <f t="shared" si="104"/>
        <v>#REF!</v>
      </c>
      <c r="BH49" s="417" t="e">
        <f t="shared" si="104"/>
        <v>#REF!</v>
      </c>
      <c r="BI49" s="417" t="e">
        <f t="shared" si="104"/>
        <v>#REF!</v>
      </c>
      <c r="BJ49" s="417" t="e">
        <f t="shared" si="104"/>
        <v>#REF!</v>
      </c>
      <c r="BK49" s="417" t="e">
        <f t="shared" si="104"/>
        <v>#REF!</v>
      </c>
      <c r="BL49" s="417" t="e">
        <f t="shared" si="104"/>
        <v>#REF!</v>
      </c>
      <c r="BM49" s="417" t="e">
        <f t="shared" si="104"/>
        <v>#REF!</v>
      </c>
      <c r="BN49" s="417" t="e">
        <f t="shared" si="104"/>
        <v>#REF!</v>
      </c>
      <c r="BO49" s="417" t="e">
        <f t="shared" si="104"/>
        <v>#REF!</v>
      </c>
      <c r="BP49" s="417" t="e">
        <f t="shared" si="104"/>
        <v>#REF!</v>
      </c>
      <c r="BQ49" s="417" t="e">
        <f t="shared" si="104"/>
        <v>#REF!</v>
      </c>
      <c r="BR49" s="417" t="e">
        <f t="shared" si="104"/>
        <v>#REF!</v>
      </c>
      <c r="BS49" s="417" t="e">
        <f t="shared" si="104"/>
        <v>#REF!</v>
      </c>
      <c r="BT49" s="417" t="e">
        <f t="shared" si="104"/>
        <v>#REF!</v>
      </c>
      <c r="BU49" s="417" t="e">
        <f t="shared" si="104"/>
        <v>#REF!</v>
      </c>
      <c r="BV49" s="417" t="e">
        <f t="shared" si="104"/>
        <v>#REF!</v>
      </c>
      <c r="BW49" s="417" t="e">
        <f t="shared" si="104"/>
        <v>#REF!</v>
      </c>
      <c r="BX49" s="417" t="e">
        <f t="shared" si="104"/>
        <v>#REF!</v>
      </c>
      <c r="BY49" s="417" t="e">
        <f t="shared" si="104"/>
        <v>#REF!</v>
      </c>
      <c r="BZ49" s="417" t="e">
        <f t="shared" si="104"/>
        <v>#REF!</v>
      </c>
      <c r="CA49" s="417" t="e">
        <f t="shared" si="104"/>
        <v>#REF!</v>
      </c>
      <c r="CB49" s="417" t="e">
        <f t="shared" si="104"/>
        <v>#REF!</v>
      </c>
      <c r="CC49" s="417">
        <f t="shared" si="104"/>
        <v>26440.440000000002</v>
      </c>
      <c r="CD49" s="417">
        <f t="shared" si="104"/>
        <v>26440.440000000002</v>
      </c>
      <c r="CE49" s="417">
        <f t="shared" si="104"/>
        <v>26440.440000000002</v>
      </c>
      <c r="CF49" s="417">
        <f t="shared" si="104"/>
        <v>26440.440000000002</v>
      </c>
      <c r="CG49" s="417">
        <f t="shared" si="104"/>
        <v>26440.440000000002</v>
      </c>
      <c r="CH49" s="417">
        <f t="shared" si="104"/>
        <v>26440.440000000002</v>
      </c>
      <c r="CI49" s="417">
        <f t="shared" si="104"/>
        <v>26440.440000000002</v>
      </c>
      <c r="CJ49" s="417">
        <f t="shared" si="104"/>
        <v>26440.440000000002</v>
      </c>
      <c r="CK49" s="417">
        <f t="shared" si="104"/>
        <v>26440.440000000002</v>
      </c>
      <c r="CL49" s="417">
        <f t="shared" si="104"/>
        <v>26440.440000000002</v>
      </c>
      <c r="CM49" s="417">
        <f t="shared" si="104"/>
        <v>26440.440000000002</v>
      </c>
      <c r="CN49" s="417">
        <f t="shared" si="104"/>
        <v>26440.440000000002</v>
      </c>
      <c r="CO49" s="417">
        <f t="shared" si="104"/>
        <v>317285.28000000003</v>
      </c>
      <c r="CP49" s="185"/>
      <c r="CQ49" s="185"/>
      <c r="CR49" s="185"/>
      <c r="CS49" s="185"/>
      <c r="CT49" s="185"/>
      <c r="CU49" s="185"/>
      <c r="CV49" s="185"/>
      <c r="CW49" s="185"/>
      <c r="CX49" s="185"/>
      <c r="CY49" s="185"/>
      <c r="CZ49" s="185"/>
      <c r="DA49" s="185"/>
      <c r="DB49" s="185"/>
      <c r="DC49" s="185"/>
      <c r="DD49" s="185"/>
      <c r="DE49" s="185"/>
      <c r="DF49" s="185"/>
      <c r="DG49" s="185"/>
      <c r="DH49" s="185"/>
      <c r="DI49" s="185"/>
      <c r="DJ49" s="185"/>
      <c r="DK49" s="185"/>
      <c r="DL49" s="185"/>
      <c r="DM49" s="185"/>
      <c r="DN49" s="185"/>
      <c r="DO49" s="185"/>
      <c r="DP49" s="185"/>
      <c r="DQ49" s="185"/>
      <c r="DR49" s="185"/>
      <c r="DS49" s="185"/>
      <c r="DT49" s="185"/>
      <c r="DU49" s="185"/>
      <c r="DV49" s="185"/>
      <c r="DW49" s="185"/>
      <c r="DX49" s="185"/>
      <c r="DY49" s="185"/>
      <c r="DZ49" s="185"/>
      <c r="EA49" s="185"/>
      <c r="EB49" s="185"/>
      <c r="EC49" s="185"/>
      <c r="ED49" s="185"/>
      <c r="EE49" s="185"/>
      <c r="EF49" s="185"/>
      <c r="EG49" s="185"/>
      <c r="EH49" s="185"/>
      <c r="EI49" s="185"/>
      <c r="EJ49" s="185"/>
      <c r="EK49" s="185"/>
      <c r="EL49" s="185"/>
      <c r="EM49" s="185"/>
      <c r="EN49" s="185"/>
      <c r="EO49" s="185"/>
      <c r="EP49" s="185"/>
      <c r="EQ49" s="185"/>
      <c r="ER49" s="185"/>
      <c r="ES49" s="185"/>
      <c r="ET49" s="185"/>
      <c r="EU49" s="185"/>
      <c r="EV49" s="185"/>
      <c r="EW49" s="185"/>
      <c r="EX49" s="185"/>
      <c r="EY49" s="185"/>
      <c r="EZ49" s="185"/>
      <c r="FA49" s="185"/>
      <c r="FB49" s="185"/>
      <c r="FC49" s="185"/>
      <c r="FD49" s="185"/>
    </row>
    <row r="50" spans="1:160" ht="14">
      <c r="A50" s="296"/>
      <c r="B50" s="206"/>
      <c r="C50" s="206"/>
      <c r="D50" s="206"/>
      <c r="E50" s="206"/>
      <c r="F50" s="206"/>
      <c r="G50" s="206"/>
      <c r="H50" s="206"/>
      <c r="I50" s="206"/>
      <c r="J50" s="206"/>
      <c r="K50" s="206"/>
      <c r="L50" s="206"/>
      <c r="M50" s="206"/>
      <c r="N50" s="297"/>
      <c r="O50" s="206"/>
      <c r="P50" s="206"/>
      <c r="Q50" s="206"/>
      <c r="R50" s="206"/>
      <c r="S50" s="206"/>
      <c r="T50" s="206"/>
      <c r="U50" s="206"/>
      <c r="V50" s="206"/>
      <c r="W50" s="206"/>
      <c r="X50" s="206"/>
      <c r="Y50" s="206"/>
      <c r="Z50" s="206"/>
      <c r="AA50" s="206"/>
      <c r="AB50" s="206"/>
      <c r="AO50" s="206"/>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3"/>
      <c r="BR50" s="213"/>
      <c r="BS50" s="213"/>
      <c r="BT50" s="213"/>
      <c r="BU50" s="213"/>
      <c r="BV50" s="213"/>
      <c r="BW50" s="213"/>
      <c r="BX50" s="213"/>
      <c r="BY50" s="213"/>
      <c r="BZ50" s="213"/>
      <c r="CA50" s="213"/>
      <c r="CB50" s="213"/>
      <c r="CC50" s="420">
        <f>CC49-CC45-CC44-CC43-CC39-CC38-CC37-CC36-CC35-CC34-CC41</f>
        <v>14440.440000000002</v>
      </c>
      <c r="CD50" s="213"/>
      <c r="CE50" s="213"/>
      <c r="CF50" s="213"/>
      <c r="CG50" s="213"/>
      <c r="CH50" s="213"/>
      <c r="CI50" s="213"/>
      <c r="CJ50" s="213"/>
      <c r="CK50" s="213"/>
      <c r="CL50" s="213"/>
      <c r="CM50" s="213"/>
      <c r="CN50" s="213"/>
      <c r="CO50" s="213"/>
      <c r="CP50" s="213"/>
      <c r="CQ50" s="213"/>
      <c r="CR50" s="213"/>
      <c r="CS50" s="213"/>
      <c r="CT50" s="213"/>
      <c r="CU50" s="213"/>
      <c r="CV50" s="213"/>
      <c r="CW50" s="213"/>
      <c r="CX50" s="213"/>
      <c r="CY50" s="213"/>
      <c r="CZ50" s="213"/>
      <c r="DA50" s="213"/>
      <c r="DB50" s="213"/>
      <c r="DC50" s="213"/>
      <c r="DD50" s="213"/>
      <c r="DE50" s="213"/>
      <c r="DF50" s="213"/>
      <c r="DG50" s="213"/>
      <c r="DH50" s="213"/>
      <c r="DI50" s="213"/>
      <c r="DJ50" s="213"/>
      <c r="DK50" s="213"/>
      <c r="DL50" s="213"/>
      <c r="DM50" s="213"/>
      <c r="DN50" s="213"/>
      <c r="DO50" s="213"/>
      <c r="DP50" s="213"/>
      <c r="DQ50" s="213"/>
      <c r="DR50" s="213"/>
      <c r="DS50" s="213"/>
      <c r="DT50" s="213"/>
      <c r="DU50" s="213"/>
      <c r="DV50" s="213"/>
      <c r="DW50" s="213"/>
      <c r="DX50" s="213"/>
      <c r="DY50" s="213"/>
      <c r="DZ50" s="213"/>
      <c r="EA50" s="213"/>
      <c r="EB50" s="213"/>
      <c r="EC50" s="213"/>
      <c r="ED50" s="213"/>
      <c r="EE50" s="213"/>
      <c r="EF50" s="213"/>
      <c r="EG50" s="213"/>
      <c r="EH50" s="213"/>
      <c r="EI50" s="213"/>
      <c r="EJ50" s="213"/>
      <c r="EK50" s="213"/>
      <c r="EL50" s="213"/>
      <c r="EM50" s="213"/>
      <c r="EN50" s="213"/>
      <c r="EO50" s="213"/>
      <c r="EP50" s="213"/>
      <c r="EQ50" s="213"/>
      <c r="ER50" s="213"/>
      <c r="ES50" s="213"/>
      <c r="ET50" s="213"/>
      <c r="EU50" s="213"/>
      <c r="EV50" s="213"/>
      <c r="EW50" s="213"/>
      <c r="EX50" s="213"/>
      <c r="EY50" s="213"/>
      <c r="EZ50" s="213"/>
      <c r="FA50" s="213"/>
      <c r="FB50" s="213"/>
      <c r="FC50" s="213"/>
      <c r="FD50" s="213"/>
    </row>
    <row r="51" spans="1:160" ht="14">
      <c r="M51" s="89"/>
    </row>
    <row r="54" spans="1:160" ht="14">
      <c r="M54" s="89"/>
    </row>
    <row r="55" spans="1:160" ht="14">
      <c r="I55" s="89"/>
    </row>
    <row r="56" spans="1:160" ht="14">
      <c r="I56" s="89"/>
    </row>
    <row r="57" spans="1:160" ht="14">
      <c r="I57" s="89"/>
      <c r="L57" s="295"/>
      <c r="M57" s="295"/>
      <c r="N57" s="295"/>
      <c r="O57" s="295"/>
    </row>
    <row r="58" spans="1:160" ht="14">
      <c r="I58" s="89"/>
      <c r="L58" s="295"/>
      <c r="M58" s="295"/>
    </row>
    <row r="59" spans="1:160" ht="14">
      <c r="I59" s="89"/>
      <c r="L59" s="295"/>
      <c r="M59" s="295"/>
      <c r="N59" s="80"/>
      <c r="O59" s="80"/>
    </row>
    <row r="60" spans="1:160" ht="14">
      <c r="I60" s="89"/>
      <c r="L60" s="295"/>
      <c r="M60" s="295"/>
      <c r="N60" s="80"/>
      <c r="O60" s="80"/>
    </row>
    <row r="61" spans="1:160" ht="14">
      <c r="I61" s="89"/>
      <c r="L61" s="295"/>
      <c r="M61" s="295"/>
      <c r="N61" s="80"/>
      <c r="O61" s="80"/>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Hoja2</vt:lpstr>
      <vt:lpstr>Instrucciones</vt:lpstr>
      <vt:lpstr>Resultados</vt:lpstr>
      <vt:lpstr>Pronostico _con IVA_</vt:lpstr>
      <vt:lpstr>Real _con IVA_</vt:lpstr>
      <vt:lpstr>Presupuesto</vt:lpstr>
      <vt:lpstr>Cal pres Consultoria</vt:lpstr>
      <vt:lpstr>Cal pres plataformas</vt:lpstr>
      <vt:lpstr>_FilterDatabase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2023-06-20T22:46:24Z</dcterms:created>
  <dcterms:modified xsi:type="dcterms:W3CDTF">2023-06-21T00:09:35Z</dcterms:modified>
</cp:coreProperties>
</file>